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0" yWindow="96" windowWidth="15456" windowHeight="11640" firstSheet="3" activeTab="3"/>
  </bookViews>
  <sheets>
    <sheet name="Rechnung_mittel-Bezug_0100_GEA" sheetId="1" state="hidden" r:id="rId1"/>
    <sheet name="DP_Wasser_GEA" sheetId="2" state="hidden" r:id="rId2"/>
    <sheet name="Sprache" sheetId="3" state="hidden" r:id="rId3"/>
    <sheet name="Katalog_DID600" sheetId="4" r:id="rId4"/>
  </sheets>
  <definedNames>
    <definedName name="_xlnm.Print_Area" localSheetId="3">'Katalog_DID600'!$A$1:$H$47</definedName>
    <definedName name="solver_adj" localSheetId="3" hidden="1">'Katalog_DID600'!$B$23</definedName>
    <definedName name="solver_adj" localSheetId="0" hidden="1">'Rechnung_mittel-Bezug_0100_GEA'!$J$46</definedName>
    <definedName name="solver_cvg" localSheetId="3" hidden="1">1</definedName>
    <definedName name="solver_cvg" localSheetId="0" hidden="1">1</definedName>
    <definedName name="solver_drv" localSheetId="3" hidden="1">1</definedName>
    <definedName name="solver_drv" localSheetId="0" hidden="1">1</definedName>
    <definedName name="solver_est" localSheetId="3" hidden="1">1</definedName>
    <definedName name="solver_est" localSheetId="0" hidden="1">1</definedName>
    <definedName name="solver_itr" localSheetId="3" hidden="1">100</definedName>
    <definedName name="solver_itr" localSheetId="0" hidden="1">100</definedName>
    <definedName name="solver_lin" localSheetId="3" hidden="1">1</definedName>
    <definedName name="solver_lin" localSheetId="0" hidden="1">1</definedName>
    <definedName name="solver_neg" localSheetId="3" hidden="1">2</definedName>
    <definedName name="solver_neg" localSheetId="0" hidden="1">2</definedName>
    <definedName name="solver_num" localSheetId="3" hidden="1">0</definedName>
    <definedName name="solver_num" localSheetId="0" hidden="1">0</definedName>
    <definedName name="solver_nwt" localSheetId="3" hidden="1">1</definedName>
    <definedName name="solver_nwt" localSheetId="0" hidden="1">1</definedName>
    <definedName name="solver_opt" localSheetId="3" hidden="1">'Katalog_DID600'!$B$25</definedName>
    <definedName name="solver_opt" localSheetId="0" hidden="1">'Rechnung_mittel-Bezug_0100_GEA'!$K$40</definedName>
    <definedName name="solver_pre" localSheetId="3" hidden="1">1</definedName>
    <definedName name="solver_pre" localSheetId="0" hidden="1">1</definedName>
    <definedName name="solver_scl" localSheetId="3" hidden="1">2</definedName>
    <definedName name="solver_scl" localSheetId="0" hidden="1">2</definedName>
    <definedName name="solver_sho" localSheetId="3" hidden="1">2</definedName>
    <definedName name="solver_sho" localSheetId="0" hidden="1">2</definedName>
    <definedName name="solver_tim" localSheetId="3" hidden="1">100</definedName>
    <definedName name="solver_tim" localSheetId="0" hidden="1">100</definedName>
    <definedName name="solver_tol" localSheetId="3" hidden="1">1</definedName>
    <definedName name="solver_tol" localSheetId="0" hidden="1">1</definedName>
    <definedName name="solver_typ" localSheetId="3" hidden="1">3</definedName>
    <definedName name="solver_typ" localSheetId="0" hidden="1">3</definedName>
    <definedName name="solver_val" localSheetId="3" hidden="1">0</definedName>
    <definedName name="solver_val" localSheetId="0" hidden="1">0</definedName>
  </definedNames>
  <calcPr fullCalcOnLoad="1"/>
</workbook>
</file>

<file path=xl/comments4.xml><?xml version="1.0" encoding="utf-8"?>
<comments xmlns="http://schemas.openxmlformats.org/spreadsheetml/2006/main">
  <authors>
    <author>Wolters</author>
  </authors>
  <commentList>
    <comment ref="B4" authorId="0">
      <text>
        <r>
          <rPr>
            <b/>
            <sz val="8"/>
            <rFont val="Tahoma"/>
            <family val="2"/>
          </rPr>
          <t xml:space="preserve">Flow-rates above 1.500 GPM cause acoustic problems
flow-rates below 0.132 GPM cause performance losses
</t>
        </r>
      </text>
    </comment>
    <comment ref="A5" authorId="0">
      <text>
        <r>
          <rPr>
            <b/>
            <sz val="8"/>
            <rFont val="Tahoma"/>
            <family val="0"/>
          </rPr>
          <t>effective lenght Ln</t>
        </r>
      </text>
    </comment>
    <comment ref="A6" authorId="0">
      <text>
        <r>
          <rPr>
            <b/>
            <sz val="8"/>
            <rFont val="Tahoma"/>
            <family val="0"/>
          </rPr>
          <t>A, B or C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10"/>
            <rFont val="Arial"/>
            <family val="2"/>
          </rPr>
          <t>sensible heat</t>
        </r>
        <r>
          <rPr>
            <sz val="10"/>
            <rFont val="Arial"/>
            <family val="2"/>
          </rPr>
          <t xml:space="preserve">
</t>
        </r>
      </text>
    </comment>
    <comment ref="A29" authorId="0">
      <text>
        <r>
          <rPr>
            <b/>
            <sz val="10"/>
            <rFont val="Arial"/>
            <family val="2"/>
          </rPr>
          <t xml:space="preserve">primary air
</t>
        </r>
      </text>
    </comment>
    <comment ref="G12" authorId="0">
      <text>
        <r>
          <rPr>
            <b/>
            <sz val="9"/>
            <color indexed="10"/>
            <rFont val="Tahoma"/>
            <family val="2"/>
          </rPr>
          <t>if value is red:
check X-krit</t>
        </r>
      </text>
    </comment>
    <comment ref="C4" authorId="0">
      <text>
        <r>
          <rPr>
            <b/>
            <sz val="8"/>
            <rFont val="Tahoma"/>
            <family val="2"/>
          </rPr>
          <t xml:space="preserve">Flow-rates above 1.500 GPM cause acoustic problems
flow-rates below 0.132 GPM cause performance losses
</t>
        </r>
      </text>
    </comment>
    <comment ref="D4" authorId="0">
      <text>
        <r>
          <rPr>
            <b/>
            <sz val="8"/>
            <rFont val="Tahoma"/>
            <family val="2"/>
          </rPr>
          <t xml:space="preserve">Flow-rates above 1.500 GPM cause acoustic problems
flow-rates below 0.132 GPM cause performance losses
</t>
        </r>
      </text>
    </comment>
    <comment ref="E4" authorId="0">
      <text>
        <r>
          <rPr>
            <b/>
            <sz val="8"/>
            <rFont val="Tahoma"/>
            <family val="2"/>
          </rPr>
          <t xml:space="preserve">Flow-rates above 1.500 GPM cause acoustic problems
flow-rates below 0.132 GPM cause performance losses
</t>
        </r>
      </text>
    </comment>
  </commentList>
</comments>
</file>

<file path=xl/sharedStrings.xml><?xml version="1.0" encoding="utf-8"?>
<sst xmlns="http://schemas.openxmlformats.org/spreadsheetml/2006/main" count="955" uniqueCount="575">
  <si>
    <t>Model: Allometric1</t>
  </si>
  <si>
    <t>a</t>
  </si>
  <si>
    <t>b</t>
  </si>
  <si>
    <t>6er düse</t>
  </si>
  <si>
    <t>8er düse</t>
  </si>
  <si>
    <t>10er düse</t>
  </si>
  <si>
    <t>y0</t>
  </si>
  <si>
    <t>A1</t>
  </si>
  <si>
    <t>t1</t>
  </si>
  <si>
    <t>A2</t>
  </si>
  <si>
    <t>t2</t>
  </si>
  <si>
    <t>Zweileiter</t>
  </si>
  <si>
    <t>Kühlen</t>
  </si>
  <si>
    <t>Vierleiter</t>
  </si>
  <si>
    <t>Heizen</t>
  </si>
  <si>
    <t>Raumhöhe</t>
  </si>
  <si>
    <t>A</t>
  </si>
  <si>
    <t>X</t>
  </si>
  <si>
    <t>H1</t>
  </si>
  <si>
    <t>L</t>
  </si>
  <si>
    <t>Aeff</t>
  </si>
  <si>
    <t>veff</t>
  </si>
  <si>
    <t>Kühlfall</t>
  </si>
  <si>
    <t>Heizfall</t>
  </si>
  <si>
    <t>Ergebnisse</t>
  </si>
  <si>
    <t>Hilfswerte</t>
  </si>
  <si>
    <r>
      <t>V</t>
    </r>
    <r>
      <rPr>
        <sz val="10"/>
        <rFont val="Arial"/>
        <family val="2"/>
      </rPr>
      <t>wasser DID</t>
    </r>
  </si>
  <si>
    <t>m³/hm</t>
  </si>
  <si>
    <t>l/s</t>
  </si>
  <si>
    <t>m³/h</t>
  </si>
  <si>
    <t>Vierleiter-Kühlen</t>
  </si>
  <si>
    <t>Vierleiter-heizen</t>
  </si>
  <si>
    <t>Wärmeaustauscher</t>
  </si>
  <si>
    <t>Anschluß - WT</t>
  </si>
  <si>
    <t>Rohrlänge</t>
  </si>
  <si>
    <t>Anzahl Rohre  :</t>
  </si>
  <si>
    <t>Anzahl Rohrbögen(90°) :</t>
  </si>
  <si>
    <r>
      <t>z</t>
    </r>
    <r>
      <rPr>
        <sz val="10"/>
        <rFont val="Arial"/>
        <family val="0"/>
      </rPr>
      <t>-Wert pro Bogen:</t>
    </r>
  </si>
  <si>
    <t>Rohrlänge pro Wasserkreis:</t>
  </si>
  <si>
    <r>
      <t xml:space="preserve">sonstige </t>
    </r>
    <r>
      <rPr>
        <sz val="10"/>
        <rFont val="Symbol"/>
        <family val="1"/>
      </rPr>
      <t>z</t>
    </r>
    <r>
      <rPr>
        <sz val="10"/>
        <rFont val="Arial"/>
        <family val="0"/>
      </rPr>
      <t>-Werte :</t>
    </r>
  </si>
  <si>
    <r>
      <t>z</t>
    </r>
    <r>
      <rPr>
        <sz val="10"/>
        <rFont val="Arial"/>
        <family val="0"/>
      </rPr>
      <t>-Wert pro Wasserkreis:</t>
    </r>
  </si>
  <si>
    <t>Di -Rohr:</t>
  </si>
  <si>
    <t>Wassertemp.</t>
  </si>
  <si>
    <t>Zweileiter - Kühlen</t>
  </si>
  <si>
    <t>Zweileiter- Heizen</t>
  </si>
  <si>
    <t xml:space="preserve"> </t>
  </si>
  <si>
    <t>Approx. Über Origin / q/q110 mittel=f/Vwasser</t>
  </si>
  <si>
    <t>Parameter</t>
  </si>
  <si>
    <r>
      <t>F</t>
    </r>
    <r>
      <rPr>
        <sz val="10"/>
        <rFont val="Arial"/>
        <family val="0"/>
      </rPr>
      <t xml:space="preserve"> wasser</t>
    </r>
  </si>
  <si>
    <r>
      <t>Re</t>
    </r>
    <r>
      <rPr>
        <sz val="10"/>
        <rFont val="Arial"/>
        <family val="0"/>
      </rPr>
      <t xml:space="preserve"> wasser</t>
    </r>
  </si>
  <si>
    <t>Zweileiter-kühlen</t>
  </si>
  <si>
    <t>Zweileiter-heizen</t>
  </si>
  <si>
    <t>aktiv</t>
  </si>
  <si>
    <t>Gesamt</t>
  </si>
  <si>
    <t>------------------------------------------------------------</t>
  </si>
  <si>
    <t>B1</t>
  </si>
  <si>
    <t>B2</t>
  </si>
  <si>
    <t>B3</t>
  </si>
  <si>
    <t>B4</t>
  </si>
  <si>
    <t>B5</t>
  </si>
  <si>
    <t>X-krit</t>
  </si>
  <si>
    <t>Archimedes-Zahl</t>
  </si>
  <si>
    <r>
      <t>V</t>
    </r>
    <r>
      <rPr>
        <sz val="10"/>
        <rFont val="Arial"/>
        <family val="2"/>
      </rPr>
      <t>water DID</t>
    </r>
  </si>
  <si>
    <t>Unit length</t>
  </si>
  <si>
    <t>Nozzle-type</t>
  </si>
  <si>
    <t>cooling</t>
  </si>
  <si>
    <t>heating</t>
  </si>
  <si>
    <t>Archimedes-number</t>
  </si>
  <si>
    <t>support values</t>
  </si>
  <si>
    <t>Input DID</t>
  </si>
  <si>
    <t>results</t>
  </si>
  <si>
    <t>vL</t>
  </si>
  <si>
    <t>Eingaben Raumgeometrie</t>
  </si>
  <si>
    <t>Projekt</t>
  </si>
  <si>
    <t>Raum-Nr.</t>
  </si>
  <si>
    <t>Bezeichnung</t>
  </si>
  <si>
    <t>DE</t>
  </si>
  <si>
    <t>GB</t>
  </si>
  <si>
    <t>D2</t>
  </si>
  <si>
    <t>Sprache</t>
  </si>
  <si>
    <t>Ziel-Zelle</t>
  </si>
  <si>
    <t>Eingaben DID</t>
  </si>
  <si>
    <t>C3</t>
  </si>
  <si>
    <t>D3</t>
  </si>
  <si>
    <t>E3</t>
  </si>
  <si>
    <t>A4</t>
  </si>
  <si>
    <t>A5</t>
  </si>
  <si>
    <t>A6</t>
  </si>
  <si>
    <t>A7</t>
  </si>
  <si>
    <t>Düsen Typ</t>
  </si>
  <si>
    <t>Vluftprimär DID</t>
  </si>
  <si>
    <t>Twasser vor</t>
  </si>
  <si>
    <t>Q DID</t>
  </si>
  <si>
    <t>A9</t>
  </si>
  <si>
    <t>A10</t>
  </si>
  <si>
    <t>A11</t>
  </si>
  <si>
    <t>A12</t>
  </si>
  <si>
    <t>A13</t>
  </si>
  <si>
    <t>A18</t>
  </si>
  <si>
    <t>N-Düsen aktiv</t>
  </si>
  <si>
    <t>Eingabe Temperaturen</t>
  </si>
  <si>
    <t>Tluftprimär</t>
  </si>
  <si>
    <t>A20</t>
  </si>
  <si>
    <t>DTwasser</t>
  </si>
  <si>
    <t>A21</t>
  </si>
  <si>
    <t>A22</t>
  </si>
  <si>
    <t>A23</t>
  </si>
  <si>
    <t>A28</t>
  </si>
  <si>
    <t>Twasser rück</t>
  </si>
  <si>
    <t>DT Raum-vor</t>
  </si>
  <si>
    <t>DT Raum-mittel</t>
  </si>
  <si>
    <t>DP wasser</t>
  </si>
  <si>
    <t>DP luft</t>
  </si>
  <si>
    <t>Lwa</t>
  </si>
  <si>
    <t>A29</t>
  </si>
  <si>
    <t>A30</t>
  </si>
  <si>
    <t>A31</t>
  </si>
  <si>
    <t>A32</t>
  </si>
  <si>
    <t>A33</t>
  </si>
  <si>
    <t>A36</t>
  </si>
  <si>
    <t>vH1</t>
  </si>
  <si>
    <t>DTL</t>
  </si>
  <si>
    <t>DTH1</t>
  </si>
  <si>
    <t>DTzu</t>
  </si>
  <si>
    <t>A37</t>
  </si>
  <si>
    <t>A38</t>
  </si>
  <si>
    <t>A39</t>
  </si>
  <si>
    <t>A40</t>
  </si>
  <si>
    <t>A42</t>
  </si>
  <si>
    <t>F2</t>
  </si>
  <si>
    <t>G2</t>
  </si>
  <si>
    <t>H2</t>
  </si>
  <si>
    <t>Project</t>
  </si>
  <si>
    <t>B10</t>
  </si>
  <si>
    <t>D10</t>
  </si>
  <si>
    <t>B18</t>
  </si>
  <si>
    <t>B19</t>
  </si>
  <si>
    <t>C19</t>
  </si>
  <si>
    <t>D18</t>
  </si>
  <si>
    <t>D19</t>
  </si>
  <si>
    <t>E19</t>
  </si>
  <si>
    <t>F36</t>
  </si>
  <si>
    <t>F37</t>
  </si>
  <si>
    <t>F38</t>
  </si>
  <si>
    <t>F39</t>
  </si>
  <si>
    <t>F40</t>
  </si>
  <si>
    <t>F41</t>
  </si>
  <si>
    <t>F42</t>
  </si>
  <si>
    <t>N-Düsen nominell offen</t>
  </si>
  <si>
    <t>N-Düsen</t>
  </si>
  <si>
    <t>Vair-primary DID</t>
  </si>
  <si>
    <t>No-nozzles active</t>
  </si>
  <si>
    <t>Input temperatures</t>
  </si>
  <si>
    <t>Tair-primary</t>
  </si>
  <si>
    <t>Twater-flow</t>
  </si>
  <si>
    <t>Dtwater</t>
  </si>
  <si>
    <t>Twater-return</t>
  </si>
  <si>
    <t>DT room - water flow</t>
  </si>
  <si>
    <t>DT Room water average</t>
  </si>
  <si>
    <t>DP water</t>
  </si>
  <si>
    <t>DP air</t>
  </si>
  <si>
    <t>room-No.</t>
  </si>
  <si>
    <t>comment</t>
  </si>
  <si>
    <t>room height</t>
  </si>
  <si>
    <t>Input room measures</t>
  </si>
  <si>
    <t>N-nozzles total</t>
  </si>
  <si>
    <t>N-active nozzles</t>
  </si>
  <si>
    <t>Language</t>
  </si>
  <si>
    <t>DT-Raum -vor soll</t>
  </si>
  <si>
    <r>
      <t>Q</t>
    </r>
    <r>
      <rPr>
        <sz val="10"/>
        <rFont val="Arial"/>
        <family val="2"/>
      </rPr>
      <t xml:space="preserve"> DID</t>
    </r>
  </si>
  <si>
    <t>Franz</t>
  </si>
  <si>
    <t>Spanisch</t>
  </si>
  <si>
    <t>Ital</t>
  </si>
  <si>
    <t>NL</t>
  </si>
  <si>
    <t>A14</t>
  </si>
  <si>
    <t>Einheit Primärluftvolumenstrom:l/s</t>
  </si>
  <si>
    <t>Unit primary airflow:l/s</t>
  </si>
  <si>
    <t>Einheit Primärluftvolumenstrom:m³/h</t>
  </si>
  <si>
    <t>Standard-Düsenanzahl(aktiv) wiederherstellen</t>
  </si>
  <si>
    <t>70% - Gitter/Lochblech</t>
  </si>
  <si>
    <t>70% - free area</t>
  </si>
  <si>
    <t>50% - Lochblech</t>
  </si>
  <si>
    <t>50% - free area</t>
  </si>
  <si>
    <t>Details einblenden</t>
  </si>
  <si>
    <t>details ON</t>
  </si>
  <si>
    <t>Details AUS</t>
  </si>
  <si>
    <t>details OFF</t>
  </si>
  <si>
    <t>4-pijps</t>
  </si>
  <si>
    <t>2-pijps</t>
  </si>
  <si>
    <t>Gegevens DID</t>
  </si>
  <si>
    <t>Koelen</t>
  </si>
  <si>
    <t>Verwarmen</t>
  </si>
  <si>
    <t>Waterhoeveelheid DID</t>
  </si>
  <si>
    <t>Apparaatlengte</t>
  </si>
  <si>
    <t>Düsen Type</t>
  </si>
  <si>
    <t>Primaire luchthoeveelheid</t>
  </si>
  <si>
    <t>Aantal düsen actief</t>
  </si>
  <si>
    <t>Invoer temperaturen</t>
  </si>
  <si>
    <t>Temp. primairelucht</t>
  </si>
  <si>
    <t>Temp.ruimte</t>
  </si>
  <si>
    <t>Temp.water intrede</t>
  </si>
  <si>
    <t>Gegeven</t>
  </si>
  <si>
    <t>Temp. verschil water</t>
  </si>
  <si>
    <t>Temp. retourwater</t>
  </si>
  <si>
    <t>Temp. verschil ruimte-watertoev.</t>
  </si>
  <si>
    <t>Temp. verschil ruimte-gem.watertemp.</t>
  </si>
  <si>
    <t>DP lucht</t>
  </si>
  <si>
    <t>Archimedes-nummer</t>
  </si>
  <si>
    <t xml:space="preserve">Ruimte-nr. </t>
  </si>
  <si>
    <t>Codering</t>
  </si>
  <si>
    <t>Opgave ruimteafmetingen</t>
  </si>
  <si>
    <t>Ruimtehoogte</t>
  </si>
  <si>
    <t>Hulpwaarden</t>
  </si>
  <si>
    <t>N-Düsen standaard geopend</t>
  </si>
  <si>
    <t>Taal</t>
  </si>
  <si>
    <t>Hoeveelheid primaire lucht: l/s</t>
  </si>
  <si>
    <t>Hoeveelheid primaire lucht: m³/h</t>
  </si>
  <si>
    <t>Standaard aantal actieve düsen instellen</t>
  </si>
  <si>
    <t>70% - vrije doorlaat rooster</t>
  </si>
  <si>
    <t>50% - vrije doorlaat perforatie</t>
  </si>
  <si>
    <t>details invoegen</t>
  </si>
  <si>
    <t>details wissen</t>
  </si>
  <si>
    <t>G30</t>
  </si>
  <si>
    <t>Vwasser DID = konst</t>
  </si>
  <si>
    <t>DTwasser DID = konst</t>
  </si>
  <si>
    <t>Vwater DID = const</t>
  </si>
  <si>
    <t>DTwater DID = const</t>
  </si>
  <si>
    <t>DID-Länge Ln ungültig</t>
  </si>
  <si>
    <t>Warnung: Gerätelänge</t>
  </si>
  <si>
    <t xml:space="preserve">Anzahl muss im Bereich von  </t>
  </si>
  <si>
    <t>Warnung: Anzahl aktiver Düsen im nicht zulässigen Bereich</t>
  </si>
  <si>
    <t>Düsenaustritts-Luftgeschwindigkeit zu gering</t>
  </si>
  <si>
    <t>Warnung: Düsen-Luftaustrittsgeschwindigkeit</t>
  </si>
  <si>
    <t>Wasservolumentrom zu hoch.</t>
  </si>
  <si>
    <t>Werte müssen unter 250 l/h liegen</t>
  </si>
  <si>
    <t>Warnung: Wasservolumenstrom</t>
  </si>
  <si>
    <t>Wasservolumentrom zu niedrig.</t>
  </si>
  <si>
    <t>Werte müssen über 30 l/h liegen</t>
  </si>
  <si>
    <t>DID-lenght not valid</t>
  </si>
  <si>
    <t>Attention: Unit length</t>
  </si>
  <si>
    <t xml:space="preserve">No Nozzels must be </t>
  </si>
  <si>
    <t>Attention: No of active nozzles not in allowed range</t>
  </si>
  <si>
    <t>Attention: nozzle velocity</t>
  </si>
  <si>
    <t>water-flow rate too high</t>
  </si>
  <si>
    <t>Nozzle-velocity too low</t>
  </si>
  <si>
    <t>must be below 250 l/h</t>
  </si>
  <si>
    <t>Attention: water-flow rate</t>
  </si>
  <si>
    <t>water-flow rate too low</t>
  </si>
  <si>
    <t>must be more than 30 l/h</t>
  </si>
  <si>
    <t>Warnung: Wassertemp. Differenz</t>
  </si>
  <si>
    <t>Wassertemp.-Differenz unzulässig,</t>
  </si>
  <si>
    <t>4 tubos</t>
  </si>
  <si>
    <t>2 tubos</t>
  </si>
  <si>
    <t>datos DID</t>
  </si>
  <si>
    <t>refrigeracion</t>
  </si>
  <si>
    <t>calefacion</t>
  </si>
  <si>
    <t>V agua DID</t>
  </si>
  <si>
    <t>longitud</t>
  </si>
  <si>
    <t>tipo de toberas</t>
  </si>
  <si>
    <t>V aire primario</t>
  </si>
  <si>
    <t>n·toberas activas</t>
  </si>
  <si>
    <t>datos temperatura</t>
  </si>
  <si>
    <t>resultados</t>
  </si>
  <si>
    <t>Q agua DID</t>
  </si>
  <si>
    <t>Q aire DID</t>
  </si>
  <si>
    <t>numero de Arquimedes</t>
  </si>
  <si>
    <t>Proyecto</t>
  </si>
  <si>
    <t>local No</t>
  </si>
  <si>
    <t>referencia</t>
  </si>
  <si>
    <t>dimensiones local</t>
  </si>
  <si>
    <t>altura</t>
  </si>
  <si>
    <t>valores de ayuda</t>
  </si>
  <si>
    <t>N-toberas activas</t>
  </si>
  <si>
    <t>N-total de toberas</t>
  </si>
  <si>
    <t>A efectiva</t>
  </si>
  <si>
    <t>v efectiva</t>
  </si>
  <si>
    <t>lenguaje</t>
  </si>
  <si>
    <t>aire primario en l/s</t>
  </si>
  <si>
    <t>aire primario en m3/h</t>
  </si>
  <si>
    <t>No.de tob.estand.activas</t>
  </si>
  <si>
    <t>Reja chap.perforada 70%</t>
  </si>
  <si>
    <t>chapa perforada 50%</t>
  </si>
  <si>
    <t>Temperatura aire primario</t>
  </si>
  <si>
    <t>Temperatura ambiente</t>
  </si>
  <si>
    <t>Temperatura agua impulsion</t>
  </si>
  <si>
    <t>Dt agua</t>
  </si>
  <si>
    <t>Temperatura agua retorno</t>
  </si>
  <si>
    <t>Dt ambiente agua</t>
  </si>
  <si>
    <t>Dt amb.temp.media agua</t>
  </si>
  <si>
    <t>Dp agua</t>
  </si>
  <si>
    <t>Dp aire</t>
  </si>
  <si>
    <t>Attention: water temp.-difference</t>
  </si>
  <si>
    <t>water temp.-difference not valid</t>
  </si>
  <si>
    <t>Attention: water temp.-difference,</t>
  </si>
  <si>
    <r>
      <t>D</t>
    </r>
    <r>
      <rPr>
        <sz val="10"/>
        <rFont val="Arial"/>
        <family val="2"/>
      </rPr>
      <t>TL</t>
    </r>
  </si>
  <si>
    <r>
      <t>D</t>
    </r>
    <r>
      <rPr>
        <sz val="10"/>
        <rFont val="Arial"/>
        <family val="2"/>
      </rPr>
      <t>TH1</t>
    </r>
  </si>
  <si>
    <t>DTsupply</t>
  </si>
  <si>
    <t>DT toevoer</t>
  </si>
  <si>
    <t>DT impulsion</t>
  </si>
  <si>
    <t>muss zwischen 1K und 6K liegen</t>
  </si>
  <si>
    <t>must be between 1K and 6K</t>
  </si>
  <si>
    <t>muss zwischen 5K und 30K liegen</t>
  </si>
  <si>
    <t>must be between 5K and 30K</t>
  </si>
  <si>
    <t>Layout Frontteil</t>
  </si>
  <si>
    <t>4 tubes</t>
  </si>
  <si>
    <t>2 tubes</t>
  </si>
  <si>
    <t>données DID</t>
  </si>
  <si>
    <t>rafraîchissement</t>
  </si>
  <si>
    <t>chauffage</t>
  </si>
  <si>
    <t>V eau DID</t>
  </si>
  <si>
    <t>longueur nominale LN</t>
  </si>
  <si>
    <t>type de buse</t>
  </si>
  <si>
    <t>débit d'air primaire DID</t>
  </si>
  <si>
    <t>buse N active</t>
  </si>
  <si>
    <t>données températures</t>
  </si>
  <si>
    <t>température d'air primaire</t>
  </si>
  <si>
    <t>température ambiente</t>
  </si>
  <si>
    <t>température d'entrée d'eau</t>
  </si>
  <si>
    <t>résultats</t>
  </si>
  <si>
    <t>DT température eau (entrée et sortie)</t>
  </si>
  <si>
    <t>température de l'eau de retour</t>
  </si>
  <si>
    <t>DT ambiente eau</t>
  </si>
  <si>
    <t>DT ambiente eau moyenne</t>
  </si>
  <si>
    <t>Q eau DID</t>
  </si>
  <si>
    <t>Q air DID</t>
  </si>
  <si>
    <t>DP eau</t>
  </si>
  <si>
    <t>x-critique</t>
  </si>
  <si>
    <t>nombre d'Archimède</t>
  </si>
  <si>
    <t>DT soufflage</t>
  </si>
  <si>
    <t>Projet</t>
  </si>
  <si>
    <t>numéro du local</t>
  </si>
  <si>
    <t>désignation</t>
  </si>
  <si>
    <t>sélection DID 600</t>
  </si>
  <si>
    <t>dimensions du local</t>
  </si>
  <si>
    <t>hauteur du local</t>
  </si>
  <si>
    <t>données complémentaires</t>
  </si>
  <si>
    <t>nombre de buses</t>
  </si>
  <si>
    <t>langue</t>
  </si>
  <si>
    <t>débit d'air primaire: l/s</t>
  </si>
  <si>
    <t>débit d'air primaire: m3/h</t>
  </si>
  <si>
    <t>restauration nombre de buses actives standard</t>
  </si>
  <si>
    <t>70%-grille/tôle perforée</t>
  </si>
  <si>
    <t>50%-tôle perforée</t>
  </si>
  <si>
    <t>détails on (afficher les détails)</t>
  </si>
  <si>
    <t>détails off (ne plus afficher les détails)</t>
  </si>
  <si>
    <t>V eau DID=constant</t>
  </si>
  <si>
    <t>DT eau DID=constant</t>
  </si>
  <si>
    <t>longueur DID Ln non valide</t>
  </si>
  <si>
    <t>attention: longueur de l'appareil</t>
  </si>
  <si>
    <t>nombre des buses doit être compirs entre et</t>
  </si>
  <si>
    <t>attention: nombre de buses actives non valid</t>
  </si>
  <si>
    <t>débit de sortie des buses trop faible</t>
  </si>
  <si>
    <t>attention: débit de sortie des buses</t>
  </si>
  <si>
    <t>débit d'eau trop élevé</t>
  </si>
  <si>
    <t>valeurs doivent être inférieures à 250l/h</t>
  </si>
  <si>
    <t>attention: débit d'eau</t>
  </si>
  <si>
    <t>débit d'eau trop faible</t>
  </si>
  <si>
    <t>valeurs doivent être supérieures à 30 l/h</t>
  </si>
  <si>
    <t>attention: différence de température d'eau</t>
  </si>
  <si>
    <t>différence de température d'eau non valide</t>
  </si>
  <si>
    <t>doit être entre 1 K et 6K</t>
  </si>
  <si>
    <t>doit être entre 5K et 20K</t>
  </si>
  <si>
    <t>F30</t>
  </si>
  <si>
    <t>layout room-face</t>
  </si>
  <si>
    <t>layout rooster</t>
  </si>
  <si>
    <t>layout perforada</t>
  </si>
  <si>
    <t>layout perforée</t>
  </si>
  <si>
    <t>Danish</t>
  </si>
  <si>
    <t>4 rørs</t>
  </si>
  <si>
    <t>2 rørs</t>
  </si>
  <si>
    <t>Køling</t>
  </si>
  <si>
    <t>Opvarmning</t>
  </si>
  <si>
    <t>V vand DID</t>
  </si>
  <si>
    <t>Dyse størrelse</t>
  </si>
  <si>
    <t>V primær luft</t>
  </si>
  <si>
    <t>Antal aktive dyser</t>
  </si>
  <si>
    <t>Temperatur set</t>
  </si>
  <si>
    <t>T primær luft ind</t>
  </si>
  <si>
    <t>T rum</t>
  </si>
  <si>
    <t>T vand ind</t>
  </si>
  <si>
    <t>Resultat</t>
  </si>
  <si>
    <t>DT vand</t>
  </si>
  <si>
    <t>T vand retur</t>
  </si>
  <si>
    <t>DT rum ind</t>
  </si>
  <si>
    <t>DT rum middel</t>
  </si>
  <si>
    <t>Q vand DID</t>
  </si>
  <si>
    <t>Q luft DID</t>
  </si>
  <si>
    <t>DP vand</t>
  </si>
  <si>
    <t>X-kritisk</t>
  </si>
  <si>
    <t>Archimedes-tal</t>
  </si>
  <si>
    <t>DT ind</t>
  </si>
  <si>
    <t>Rum nr.</t>
  </si>
  <si>
    <t>Betegnelse</t>
  </si>
  <si>
    <t>Køle situation</t>
  </si>
  <si>
    <t>Varme situation</t>
  </si>
  <si>
    <t>Rum dimensioner</t>
  </si>
  <si>
    <t>Rumhøjde</t>
  </si>
  <si>
    <t>Hjælpeværdier</t>
  </si>
  <si>
    <t>N-dyser nominelt åbne</t>
  </si>
  <si>
    <t>Dyse antal</t>
  </si>
  <si>
    <t>Sprog</t>
  </si>
  <si>
    <t>Enhed primærluft: l/s</t>
  </si>
  <si>
    <t>Enhed primærluft: m3/h</t>
  </si>
  <si>
    <t>Retur til standard dyseantal</t>
  </si>
  <si>
    <t>70% - frit areal</t>
  </si>
  <si>
    <t>50% - frit areal</t>
  </si>
  <si>
    <t xml:space="preserve">detaljer on </t>
  </si>
  <si>
    <t>detaljer off</t>
  </si>
  <si>
    <t>V vand DID = konstant</t>
  </si>
  <si>
    <t>DT vand DID = konstant</t>
  </si>
  <si>
    <t>Ugyldig længde</t>
  </si>
  <si>
    <t>Bemærk: aggregatlængde</t>
  </si>
  <si>
    <t>Antal dyser skal være</t>
  </si>
  <si>
    <t>Bemærk: Aktivt dyseantal ikke tilladt</t>
  </si>
  <si>
    <t>Dysehastighed for lav</t>
  </si>
  <si>
    <t>Bemærk: dysehastighed</t>
  </si>
  <si>
    <t>Vand flow for højt</t>
  </si>
  <si>
    <t>skal være under 250 l/h</t>
  </si>
  <si>
    <t>Bemærk: Tilladeligt vand flow</t>
  </si>
  <si>
    <t>Vand flow for lavt</t>
  </si>
  <si>
    <t>skal være over 30 l/h</t>
  </si>
  <si>
    <t>Bemærk: vand temp forskel</t>
  </si>
  <si>
    <t>vand temp forskel ikke tilladt</t>
  </si>
  <si>
    <t>skal være mellem 1K og 6 K</t>
  </si>
  <si>
    <t>skal være mellem 5K og 30K</t>
  </si>
  <si>
    <t>Perforering på frontplade</t>
  </si>
  <si>
    <t>Effektiv længde</t>
  </si>
  <si>
    <t>F10</t>
  </si>
  <si>
    <t>F11</t>
  </si>
  <si>
    <t>Traum / rel. Luftfeuchte</t>
  </si>
  <si>
    <t>Troom / rel. Humidity</t>
  </si>
  <si>
    <t>2 water circuits</t>
  </si>
  <si>
    <t>1 water circuit</t>
  </si>
  <si>
    <t>X g/kg</t>
  </si>
  <si>
    <t>Taupkt °C</t>
  </si>
  <si>
    <t>Achtung : Taupunktunterschreitung</t>
  </si>
  <si>
    <t>Attention : passing below the dew point</t>
  </si>
  <si>
    <t>F28</t>
  </si>
  <si>
    <t>Q water DID</t>
  </si>
  <si>
    <t>Q lucht DID</t>
  </si>
  <si>
    <t>Q wasser DID</t>
  </si>
  <si>
    <t>A43</t>
  </si>
  <si>
    <t>F43</t>
  </si>
  <si>
    <t>Taupunkttemperatur-Kühlfall</t>
  </si>
  <si>
    <t>room air dew point-cooling</t>
  </si>
  <si>
    <t xml:space="preserve">Gerätelänge Ln </t>
  </si>
  <si>
    <t>A41</t>
  </si>
  <si>
    <t>Connection-diameter / primary air</t>
  </si>
  <si>
    <t>Stutzen-Durchmesser / Primärluft</t>
  </si>
  <si>
    <t>Werte für Origin - GEA einreihig - Zweileiter</t>
  </si>
  <si>
    <t>Werte für Origin - GEA zweireihig - Vierleiter-kühlen</t>
  </si>
  <si>
    <t>Werte für Origin - GEA zweireihig - Vierleiter heizen</t>
  </si>
  <si>
    <t>m³/mh</t>
  </si>
  <si>
    <t>W/Km - mittel</t>
  </si>
  <si>
    <t/>
  </si>
  <si>
    <t>Value</t>
  </si>
  <si>
    <t>mm²</t>
  </si>
  <si>
    <t>%</t>
  </si>
  <si>
    <t>Vierleiter - Kühlen</t>
  </si>
  <si>
    <t>Vierleiter - heizen</t>
  </si>
  <si>
    <t>DID 600 Auslegung</t>
  </si>
  <si>
    <t>DID 600 calculation</t>
  </si>
  <si>
    <t>DID 600 selectie</t>
  </si>
  <si>
    <t>calculo DID 600</t>
  </si>
  <si>
    <t>DID 600 dimensionering</t>
  </si>
  <si>
    <t>Düsenrohr-D_DP</t>
  </si>
  <si>
    <t>Düsenrohr-D_LwA</t>
  </si>
  <si>
    <t>muss größer als 9m/s sein</t>
  </si>
  <si>
    <t>must be &gt; 9m/s</t>
  </si>
  <si>
    <t>Skal være &gt; 9 m/s</t>
  </si>
  <si>
    <t>doit être supérieur à 9m/s</t>
  </si>
  <si>
    <t>Wert</t>
  </si>
  <si>
    <t>B6</t>
  </si>
  <si>
    <t xml:space="preserve"> bis </t>
  </si>
  <si>
    <t xml:space="preserve"> to </t>
  </si>
  <si>
    <t xml:space="preserve"> à </t>
  </si>
  <si>
    <t xml:space="preserve"> til </t>
  </si>
  <si>
    <t>4 tubi</t>
  </si>
  <si>
    <t>2 tubi</t>
  </si>
  <si>
    <t>dati DID</t>
  </si>
  <si>
    <t>raffreddamento</t>
  </si>
  <si>
    <t>riscaldamento</t>
  </si>
  <si>
    <t>Vacqua DID</t>
  </si>
  <si>
    <t>Lunghezza nominale LN</t>
  </si>
  <si>
    <t>Tipo di ugello</t>
  </si>
  <si>
    <t>Portata aria primaria DID</t>
  </si>
  <si>
    <t>n° ugelli attivi</t>
  </si>
  <si>
    <t>Temperature richieste</t>
  </si>
  <si>
    <t>Temperatura aria primaria</t>
  </si>
  <si>
    <t>Temperatura acqua di entrata</t>
  </si>
  <si>
    <t>risultati</t>
  </si>
  <si>
    <t>Dt acqua</t>
  </si>
  <si>
    <t>Temperatura acqua di ritorno</t>
  </si>
  <si>
    <t>Dt ambiente - acqua</t>
  </si>
  <si>
    <t>Dt ambiente - Tmedia dell'acqua</t>
  </si>
  <si>
    <t xml:space="preserve">Q acqua DID </t>
  </si>
  <si>
    <t>Q aria DID</t>
  </si>
  <si>
    <t>Q totale DID</t>
  </si>
  <si>
    <t>DP acqua</t>
  </si>
  <si>
    <t>DP aria</t>
  </si>
  <si>
    <t>x-critico</t>
  </si>
  <si>
    <t>numero di Archimede</t>
  </si>
  <si>
    <t>Dt mandata</t>
  </si>
  <si>
    <t>Progetto</t>
  </si>
  <si>
    <t xml:space="preserve">Locale nr </t>
  </si>
  <si>
    <t>Commento</t>
  </si>
  <si>
    <t>dimensioni del locale</t>
  </si>
  <si>
    <t>altezza del locale</t>
  </si>
  <si>
    <t xml:space="preserve">dati complementari </t>
  </si>
  <si>
    <t>numero totale ugelli</t>
  </si>
  <si>
    <t>lingua</t>
  </si>
  <si>
    <t>T acqua di ritorno</t>
  </si>
  <si>
    <t>portata aria primaria l/s</t>
  </si>
  <si>
    <t>portata aria primaria m3/h</t>
  </si>
  <si>
    <t>N° fuori standard di ugelli</t>
  </si>
  <si>
    <t>Lamiera forata al 70%</t>
  </si>
  <si>
    <t>Lamiera forata al 50%</t>
  </si>
  <si>
    <t>Dettagli on (scoprire i dettagli)</t>
  </si>
  <si>
    <t>Dettagli off (nascondere i dettagli)</t>
  </si>
  <si>
    <t>Portata acqua DID=costante</t>
  </si>
  <si>
    <t>Dt acqua DID=costante</t>
  </si>
  <si>
    <t>Lunghezza DID Ln non valida</t>
  </si>
  <si>
    <t>deve essere compreso fra 900 e 3000</t>
  </si>
  <si>
    <t>attenzione: lunghezza dell'apparechiatura</t>
  </si>
  <si>
    <t>N° di ugelli deve essere compreso</t>
  </si>
  <si>
    <t>fino a</t>
  </si>
  <si>
    <t>Attenzione: numero di ugelli attivi non valido</t>
  </si>
  <si>
    <t>velocità uscita ugelli troppo bassa</t>
  </si>
  <si>
    <t xml:space="preserve">Attenzione: velocità uscita  ugelli </t>
  </si>
  <si>
    <t>portata acqua troppo elevata</t>
  </si>
  <si>
    <t>Valore deve essere inferiore a 250 l/h</t>
  </si>
  <si>
    <t>Attenzione al livello della portata dell'acqua</t>
  </si>
  <si>
    <t>portata acqua troppo bassa</t>
  </si>
  <si>
    <t>Valore deve essere superiore a 30 l/h</t>
  </si>
  <si>
    <t>attenzione: Dt acqua</t>
  </si>
  <si>
    <t>Dt acqua non valido</t>
  </si>
  <si>
    <t>deve essere compreso fra 1 K e 6 K</t>
  </si>
  <si>
    <t>Attenzione: Dt acqua</t>
  </si>
  <si>
    <t>deve essere compreso fra 5 K e 30 K</t>
  </si>
  <si>
    <t>disegno ambiente</t>
  </si>
  <si>
    <t>Attenzione: condizioni al di sotto del punto di rugiada</t>
  </si>
  <si>
    <t>punto di rugiada aria/ambiente</t>
  </si>
  <si>
    <t>Diametro connessione / aria primaria</t>
  </si>
  <si>
    <t>Selezione DID 600</t>
  </si>
  <si>
    <t>Skal være 900 - 3000 mm</t>
  </si>
  <si>
    <t>doit être compris entre 900 et 3000 mm</t>
  </si>
  <si>
    <t xml:space="preserve">must be 900 to 3000mm </t>
  </si>
  <si>
    <t>muss zwischen 900 und 3000mm liegen</t>
  </si>
  <si>
    <t>deve essere &gt; 9 m/s</t>
  </si>
  <si>
    <r>
      <t>V</t>
    </r>
    <r>
      <rPr>
        <sz val="10"/>
        <rFont val="Arial"/>
        <family val="2"/>
      </rPr>
      <t>air-primary DID</t>
    </r>
  </si>
  <si>
    <r>
      <t>N</t>
    </r>
    <r>
      <rPr>
        <sz val="10"/>
        <rFont val="Arial"/>
        <family val="2"/>
      </rPr>
      <t>o-nozzles active</t>
    </r>
  </si>
  <si>
    <r>
      <t>T</t>
    </r>
    <r>
      <rPr>
        <sz val="10"/>
        <rFont val="Arial"/>
        <family val="2"/>
      </rPr>
      <t>air-primary</t>
    </r>
  </si>
  <si>
    <r>
      <t>T</t>
    </r>
    <r>
      <rPr>
        <sz val="10"/>
        <rFont val="Arial"/>
        <family val="2"/>
      </rPr>
      <t>room / rel. Humidity</t>
    </r>
  </si>
  <si>
    <r>
      <t>T</t>
    </r>
    <r>
      <rPr>
        <sz val="10"/>
        <rFont val="Arial"/>
        <family val="2"/>
      </rPr>
      <t>water-flow</t>
    </r>
  </si>
  <si>
    <r>
      <t>T</t>
    </r>
    <r>
      <rPr>
        <sz val="10"/>
        <rFont val="Arial"/>
        <family val="2"/>
      </rPr>
      <t>water-return</t>
    </r>
  </si>
  <si>
    <r>
      <t>D</t>
    </r>
    <r>
      <rPr>
        <b/>
        <sz val="12"/>
        <rFont val="Arial"/>
        <family val="2"/>
      </rPr>
      <t>t</t>
    </r>
    <r>
      <rPr>
        <sz val="10"/>
        <rFont val="Arial"/>
        <family val="2"/>
      </rPr>
      <t>water</t>
    </r>
  </si>
  <si>
    <r>
      <t>D</t>
    </r>
    <r>
      <rPr>
        <b/>
        <sz val="12"/>
        <rFont val="Arial"/>
        <family val="2"/>
      </rPr>
      <t>T</t>
    </r>
    <r>
      <rPr>
        <sz val="10"/>
        <rFont val="Arial"/>
        <family val="2"/>
      </rPr>
      <t xml:space="preserve"> room - water flow</t>
    </r>
  </si>
  <si>
    <r>
      <t>D</t>
    </r>
    <r>
      <rPr>
        <b/>
        <sz val="12"/>
        <rFont val="Arial"/>
        <family val="2"/>
      </rPr>
      <t>T</t>
    </r>
    <r>
      <rPr>
        <sz val="10"/>
        <rFont val="Arial"/>
        <family val="2"/>
      </rPr>
      <t xml:space="preserve"> Room water average</t>
    </r>
  </si>
  <si>
    <r>
      <t>Q</t>
    </r>
    <r>
      <rPr>
        <sz val="10"/>
        <color indexed="8"/>
        <rFont val="Arial"/>
        <family val="2"/>
      </rPr>
      <t xml:space="preserve"> water DID</t>
    </r>
  </si>
  <si>
    <r>
      <t>Q</t>
    </r>
    <r>
      <rPr>
        <sz val="10"/>
        <rFont val="Arial"/>
        <family val="2"/>
      </rPr>
      <t xml:space="preserve"> air DID</t>
    </r>
  </si>
  <si>
    <r>
      <t>D</t>
    </r>
    <r>
      <rPr>
        <b/>
        <sz val="12"/>
        <rFont val="Arial"/>
        <family val="2"/>
      </rPr>
      <t>P</t>
    </r>
    <r>
      <rPr>
        <sz val="10"/>
        <rFont val="Arial"/>
        <family val="2"/>
      </rPr>
      <t xml:space="preserve"> water</t>
    </r>
  </si>
  <si>
    <r>
      <t>D</t>
    </r>
    <r>
      <rPr>
        <b/>
        <sz val="12"/>
        <rFont val="Arial"/>
        <family val="2"/>
      </rPr>
      <t>P</t>
    </r>
    <r>
      <rPr>
        <sz val="10"/>
        <rFont val="Arial"/>
        <family val="2"/>
      </rPr>
      <t xml:space="preserve"> air</t>
    </r>
  </si>
  <si>
    <r>
      <t>D</t>
    </r>
    <r>
      <rPr>
        <sz val="10"/>
        <rFont val="Arial"/>
        <family val="2"/>
      </rPr>
      <t>Tsupply</t>
    </r>
  </si>
  <si>
    <t>X-crit</t>
  </si>
  <si>
    <t>must be &gt; 1800 FPM</t>
  </si>
  <si>
    <t>NC (incl. 10 dB absorbtion)</t>
  </si>
  <si>
    <r>
      <t>NC</t>
    </r>
    <r>
      <rPr>
        <sz val="10"/>
        <rFont val="Arial"/>
        <family val="2"/>
      </rPr>
      <t xml:space="preserve"> (incl. 10 dB absorbtion)</t>
    </r>
  </si>
  <si>
    <t>must be below 1.5 GPM</t>
  </si>
  <si>
    <t>must be more than 0.132 GPM</t>
  </si>
  <si>
    <t>must be between 3.5 °F and 15.5 °F</t>
  </si>
  <si>
    <t>must be between 11 °F and 59 °F</t>
  </si>
  <si>
    <t>Unit primary airflow:CFM</t>
  </si>
  <si>
    <t>Restore no. of standard active nozzles</t>
  </si>
  <si>
    <t xml:space="preserve">must be 3 to 10 ft </t>
  </si>
  <si>
    <t>Stand : 07.03.2005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</si>
</sst>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&quot; l/h&quot;"/>
    <numFmt numFmtId="169" formatCode="_-* #,##0\ _D_M_-;\-* #,##0\ _D_M_-;_-* &quot;-&quot;??\ _D_M_-;_-@_-"/>
    <numFmt numFmtId="170" formatCode="0.0"/>
    <numFmt numFmtId="171" formatCode="0.0&quot; l/s&quot;"/>
    <numFmt numFmtId="172" formatCode="0.000000"/>
    <numFmt numFmtId="173" formatCode="0.00&quot; W/K&quot;"/>
    <numFmt numFmtId="174" formatCode="0.0&quot; W/Km mittel&quot;"/>
    <numFmt numFmtId="175" formatCode="0.00&quot; W/Kmittelr&quot;"/>
    <numFmt numFmtId="176" formatCode="0.0&quot; W&quot;"/>
    <numFmt numFmtId="177" formatCode="0.00&quot; m&quot;"/>
    <numFmt numFmtId="178" formatCode="0.000&quot; m&quot;"/>
    <numFmt numFmtId="179" formatCode="0.0&quot; °C&quot;"/>
    <numFmt numFmtId="180" formatCode="0.0&quot; m&quot;"/>
    <numFmt numFmtId="181" formatCode="0.0000&quot; m&quot;"/>
    <numFmt numFmtId="182" formatCode="#,##0.00_ ;\-#,##0.00\ "/>
    <numFmt numFmtId="183" formatCode="#,##0_ ;\-#,##0\ "/>
    <numFmt numFmtId="184" formatCode="0.000%"/>
    <numFmt numFmtId="185" formatCode="0.00&quot; m/s&quot;"/>
    <numFmt numFmtId="186" formatCode="0.00&quot; K &quot;"/>
    <numFmt numFmtId="187" formatCode="&quot;Düse-D= &quot;0&quot; mm&quot;"/>
    <numFmt numFmtId="188" formatCode="&quot;Ln=&quot;0"/>
    <numFmt numFmtId="189" formatCode="0.00&quot; K&quot;"/>
    <numFmt numFmtId="190" formatCode="0.0&quot; W/mKmittel&quot;"/>
    <numFmt numFmtId="191" formatCode="0.0&quot; K &quot;"/>
    <numFmt numFmtId="192" formatCode="0.000000&quot; m²&quot;"/>
    <numFmt numFmtId="193" formatCode="0.00&quot; m³/hm&quot;"/>
    <numFmt numFmtId="194" formatCode="0.0&quot; %&quot;"/>
    <numFmt numFmtId="195" formatCode="_-* #,##0.0000000\ _D_M_-;\-* #,##0.0000000\ _D_M_-;_-* &quot;-&quot;??\ _D_M_-;_-@_-"/>
    <numFmt numFmtId="196" formatCode="0.00000E+00"/>
    <numFmt numFmtId="197" formatCode="0.000000E+00"/>
    <numFmt numFmtId="198" formatCode="0.0000000E+00"/>
    <numFmt numFmtId="199" formatCode="0.0000E+00"/>
    <numFmt numFmtId="200" formatCode="0.0&quot; CFM&quot;"/>
    <numFmt numFmtId="201" formatCode="0.0&quot; °F&quot;"/>
    <numFmt numFmtId="202" formatCode="0.0&quot; ft&quot;"/>
    <numFmt numFmtId="203" formatCode="0&quot; BTUH&quot;"/>
    <numFmt numFmtId="204" formatCode="0.0&quot; ft WG&quot;"/>
    <numFmt numFmtId="205" formatCode="0.0&quot; inches WG&quot;"/>
    <numFmt numFmtId="206" formatCode="0.00&quot; FPM&quot;"/>
    <numFmt numFmtId="207" formatCode="0.00000&quot; sq ft&quot;"/>
    <numFmt numFmtId="208" formatCode="0.0000&quot; GPM&quot;"/>
    <numFmt numFmtId="209" formatCode="0&quot; inches&quot;"/>
  </numFmts>
  <fonts count="36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HelveticaNeue-Trox"/>
      <family val="1"/>
    </font>
    <font>
      <sz val="10"/>
      <color indexed="8"/>
      <name val="Arial MT"/>
      <family val="0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Symbol"/>
      <family val="1"/>
    </font>
    <font>
      <b/>
      <sz val="28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Symbol"/>
      <family val="1"/>
    </font>
    <font>
      <sz val="8"/>
      <color indexed="8"/>
      <name val="Arial"/>
      <family val="2"/>
    </font>
    <font>
      <sz val="6"/>
      <name val="Arial"/>
      <family val="2"/>
    </font>
    <font>
      <b/>
      <sz val="15"/>
      <color indexed="10"/>
      <name val="Arial"/>
      <family val="2"/>
    </font>
    <font>
      <b/>
      <sz val="9"/>
      <color indexed="10"/>
      <name val="Tahoma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5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 quotePrefix="1">
      <alignment horizontal="left"/>
      <protection hidden="1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174" fontId="0" fillId="0" borderId="0" xfId="0" applyNumberFormat="1" applyAlignment="1">
      <alignment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top"/>
    </xf>
    <xf numFmtId="167" fontId="0" fillId="0" borderId="1" xfId="15" applyBorder="1" applyAlignment="1">
      <alignment horizontal="center" vertical="top"/>
    </xf>
    <xf numFmtId="169" fontId="0" fillId="0" borderId="1" xfId="15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86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2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right"/>
    </xf>
    <xf numFmtId="168" fontId="14" fillId="0" borderId="1" xfId="0" applyNumberFormat="1" applyFont="1" applyBorder="1" applyAlignment="1" quotePrefix="1">
      <alignment horizontal="center"/>
    </xf>
    <xf numFmtId="0" fontId="15" fillId="0" borderId="1" xfId="0" applyFont="1" applyBorder="1" applyAlignment="1" quotePrefix="1">
      <alignment horizontal="right"/>
    </xf>
    <xf numFmtId="177" fontId="15" fillId="0" borderId="1" xfId="0" applyNumberFormat="1" applyFont="1" applyBorder="1" applyAlignment="1">
      <alignment horizontal="center"/>
    </xf>
    <xf numFmtId="0" fontId="6" fillId="0" borderId="1" xfId="0" applyFont="1" applyBorder="1" applyAlignment="1" quotePrefix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6" fillId="2" borderId="1" xfId="0" applyFont="1" applyFill="1" applyBorder="1" applyAlignment="1">
      <alignment horizontal="right"/>
    </xf>
    <xf numFmtId="18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1" fontId="14" fillId="0" borderId="1" xfId="0" applyNumberFormat="1" applyFont="1" applyBorder="1" applyAlignment="1">
      <alignment horizontal="center"/>
    </xf>
    <xf numFmtId="170" fontId="14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4" fillId="0" borderId="0" xfId="0" applyNumberFormat="1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174" fontId="0" fillId="0" borderId="0" xfId="0" applyNumberFormat="1" applyBorder="1" applyAlignment="1">
      <alignment vertical="top"/>
    </xf>
    <xf numFmtId="173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vertical="top"/>
    </xf>
    <xf numFmtId="178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 quotePrefix="1">
      <alignment horizontal="center"/>
      <protection hidden="1"/>
    </xf>
    <xf numFmtId="0" fontId="8" fillId="0" borderId="0" xfId="0" applyFont="1" applyFill="1" applyAlignment="1" applyProtection="1" quotePrefix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183" fontId="0" fillId="0" borderId="0" xfId="15" applyNumberFormat="1" applyFont="1" applyFill="1" applyBorder="1" applyAlignment="1" applyProtection="1">
      <alignment horizontal="center" vertical="top"/>
      <protection hidden="1"/>
    </xf>
    <xf numFmtId="192" fontId="0" fillId="0" borderId="0" xfId="15" applyNumberFormat="1" applyFont="1" applyFill="1" applyBorder="1" applyAlignment="1" applyProtection="1">
      <alignment horizontal="center" vertical="top"/>
      <protection hidden="1"/>
    </xf>
    <xf numFmtId="185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hidden="1"/>
    </xf>
    <xf numFmtId="0" fontId="22" fillId="0" borderId="0" xfId="0" applyFont="1" applyFill="1" applyBorder="1" applyAlignment="1" applyProtection="1" quotePrefix="1">
      <alignment horizontal="center" vertical="center"/>
      <protection hidden="1"/>
    </xf>
    <xf numFmtId="185" fontId="1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80" fontId="0" fillId="0" borderId="0" xfId="0" applyNumberForma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89" fontId="0" fillId="0" borderId="0" xfId="0" applyNumberFormat="1" applyFill="1" applyBorder="1" applyAlignment="1" applyProtection="1">
      <alignment horizontal="center"/>
      <protection hidden="1"/>
    </xf>
    <xf numFmtId="184" fontId="0" fillId="0" borderId="0" xfId="19" applyNumberFormat="1" applyFill="1" applyAlignment="1" applyProtection="1">
      <alignment/>
      <protection hidden="1"/>
    </xf>
    <xf numFmtId="0" fontId="24" fillId="0" borderId="0" xfId="0" applyFont="1" applyFill="1" applyBorder="1" applyAlignment="1" applyProtection="1" quotePrefix="1">
      <alignment horizontal="right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Alignment="1" quotePrefix="1">
      <alignment horizontal="left"/>
    </xf>
    <xf numFmtId="0" fontId="2" fillId="0" borderId="7" xfId="0" applyFont="1" applyFill="1" applyBorder="1" applyAlignment="1" applyProtection="1" quotePrefix="1">
      <alignment horizontal="right" vertical="center"/>
      <protection hidden="1"/>
    </xf>
    <xf numFmtId="1" fontId="6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 quotePrefix="1">
      <alignment horizontal="right" vertical="center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hidden="1"/>
    </xf>
    <xf numFmtId="188" fontId="3" fillId="3" borderId="2" xfId="0" applyNumberFormat="1" applyFont="1" applyFill="1" applyBorder="1" applyAlignment="1" applyProtection="1">
      <alignment horizontal="center" vertical="center"/>
      <protection hidden="1"/>
    </xf>
    <xf numFmtId="188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188" fontId="0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188" fontId="2" fillId="3" borderId="0" xfId="0" applyNumberFormat="1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175" fontId="3" fillId="3" borderId="12" xfId="0" applyNumberFormat="1" applyFont="1" applyFill="1" applyBorder="1" applyAlignment="1" applyProtection="1">
      <alignment horizontal="center" vertical="center"/>
      <protection hidden="1"/>
    </xf>
    <xf numFmtId="0" fontId="25" fillId="3" borderId="3" xfId="0" applyFont="1" applyFill="1" applyBorder="1" applyAlignment="1" applyProtection="1" quotePrefix="1">
      <alignment horizontal="center" vertical="top"/>
      <protection hidden="1"/>
    </xf>
    <xf numFmtId="191" fontId="0" fillId="3" borderId="0" xfId="0" applyNumberFormat="1" applyFont="1" applyFill="1" applyBorder="1" applyAlignment="1" applyProtection="1">
      <alignment horizontal="center" vertical="top"/>
      <protection hidden="1"/>
    </xf>
    <xf numFmtId="0" fontId="0" fillId="3" borderId="3" xfId="0" applyFont="1" applyFill="1" applyBorder="1" applyAlignment="1" applyProtection="1">
      <alignment horizontal="center" vertical="top"/>
      <protection hidden="1"/>
    </xf>
    <xf numFmtId="0" fontId="0" fillId="3" borderId="3" xfId="0" applyFont="1" applyFill="1" applyBorder="1" applyAlignment="1" applyProtection="1">
      <alignment/>
      <protection hidden="1"/>
    </xf>
    <xf numFmtId="190" fontId="0" fillId="3" borderId="0" xfId="0" applyNumberFormat="1" applyFill="1" applyBorder="1" applyAlignment="1" applyProtection="1">
      <alignment horizontal="center" vertical="top"/>
      <protection hidden="1"/>
    </xf>
    <xf numFmtId="179" fontId="0" fillId="3" borderId="0" xfId="15" applyNumberFormat="1" applyFill="1" applyBorder="1" applyAlignment="1" applyProtection="1">
      <alignment horizontal="center" vertical="top"/>
      <protection hidden="1"/>
    </xf>
    <xf numFmtId="191" fontId="0" fillId="3" borderId="0" xfId="0" applyNumberFormat="1" applyFill="1" applyBorder="1" applyAlignment="1" applyProtection="1">
      <alignment horizontal="center" vertical="top"/>
      <protection hidden="1"/>
    </xf>
    <xf numFmtId="0" fontId="22" fillId="3" borderId="14" xfId="0" applyFont="1" applyFill="1" applyBorder="1" applyAlignment="1" applyProtection="1">
      <alignment horizontal="center" vertical="center"/>
      <protection hidden="1"/>
    </xf>
    <xf numFmtId="0" fontId="23" fillId="3" borderId="12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 quotePrefix="1">
      <alignment horizontal="left"/>
      <protection hidden="1"/>
    </xf>
    <xf numFmtId="0" fontId="11" fillId="3" borderId="0" xfId="0" applyFont="1" applyFill="1" applyBorder="1" applyAlignment="1" applyProtection="1" quotePrefix="1">
      <alignment horizontal="left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12" xfId="0" applyFont="1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/>
      <protection hidden="1"/>
    </xf>
    <xf numFmtId="189" fontId="0" fillId="0" borderId="0" xfId="0" applyNumberFormat="1" applyFill="1" applyBorder="1" applyAlignment="1" applyProtection="1" quotePrefix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9" fillId="3" borderId="17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 quotePrefix="1">
      <alignment horizontal="left"/>
      <protection locked="0"/>
    </xf>
    <xf numFmtId="0" fontId="28" fillId="3" borderId="12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8" fillId="0" borderId="0" xfId="0" applyFont="1" applyAlignment="1" applyProtection="1" quotePrefix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 quotePrefix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11" fontId="4" fillId="0" borderId="0" xfId="0" applyNumberFormat="1" applyFont="1" applyAlignment="1">
      <alignment horizontal="center" vertical="center"/>
    </xf>
    <xf numFmtId="11" fontId="4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 locked="0"/>
    </xf>
    <xf numFmtId="0" fontId="21" fillId="3" borderId="18" xfId="0" applyFont="1" applyFill="1" applyBorder="1" applyAlignment="1" applyProtection="1">
      <alignment horizontal="left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/>
      <protection hidden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3" borderId="21" xfId="0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center"/>
      <protection hidden="1"/>
    </xf>
    <xf numFmtId="0" fontId="0" fillId="3" borderId="23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24" xfId="0" applyFont="1" applyFill="1" applyBorder="1" applyAlignment="1" applyProtection="1">
      <alignment horizontal="center" vertical="center"/>
      <protection hidden="1"/>
    </xf>
    <xf numFmtId="175" fontId="3" fillId="3" borderId="25" xfId="0" applyNumberFormat="1" applyFont="1" applyFill="1" applyBorder="1" applyAlignment="1" applyProtection="1">
      <alignment horizontal="center" vertical="center"/>
      <protection hidden="1"/>
    </xf>
    <xf numFmtId="175" fontId="3" fillId="3" borderId="26" xfId="0" applyNumberFormat="1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/>
      <protection hidden="1"/>
    </xf>
    <xf numFmtId="0" fontId="30" fillId="3" borderId="3" xfId="0" applyFont="1" applyFill="1" applyBorder="1" applyAlignment="1" applyProtection="1" quotePrefix="1">
      <alignment horizontal="left"/>
      <protection hidden="1"/>
    </xf>
    <xf numFmtId="0" fontId="0" fillId="0" borderId="0" xfId="0" applyFill="1" applyBorder="1" applyAlignment="1" applyProtection="1" quotePrefix="1">
      <alignment horizontal="right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94" fontId="7" fillId="0" borderId="1" xfId="0" applyNumberFormat="1" applyFont="1" applyFill="1" applyBorder="1" applyAlignment="1" applyProtection="1">
      <alignment horizontal="center"/>
      <protection locked="0"/>
    </xf>
    <xf numFmtId="194" fontId="7" fillId="0" borderId="4" xfId="0" applyNumberFormat="1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/>
      <protection hidden="1"/>
    </xf>
    <xf numFmtId="180" fontId="0" fillId="3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/>
      <protection locked="0"/>
    </xf>
    <xf numFmtId="195" fontId="0" fillId="0" borderId="0" xfId="15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left"/>
      <protection hidden="1"/>
    </xf>
    <xf numFmtId="182" fontId="33" fillId="3" borderId="0" xfId="15" applyNumberFormat="1" applyFont="1" applyFill="1" applyBorder="1" applyAlignment="1" applyProtection="1">
      <alignment horizontal="center" vertical="top"/>
      <protection hidden="1"/>
    </xf>
    <xf numFmtId="182" fontId="16" fillId="3" borderId="0" xfId="15" applyNumberFormat="1" applyFont="1" applyFill="1" applyBorder="1" applyAlignment="1" applyProtection="1">
      <alignment horizontal="center" vertical="top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 quotePrefix="1">
      <alignment horizontal="left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9" fontId="0" fillId="0" borderId="0" xfId="19" applyAlignment="1">
      <alignment horizontal="center"/>
    </xf>
    <xf numFmtId="0" fontId="0" fillId="0" borderId="6" xfId="0" applyFill="1" applyBorder="1" applyAlignment="1" applyProtection="1" quotePrefix="1">
      <alignment horizontal="center"/>
      <protection hidden="1"/>
    </xf>
    <xf numFmtId="172" fontId="9" fillId="3" borderId="1" xfId="0" applyNumberFormat="1" applyFont="1" applyFill="1" applyBorder="1" applyAlignment="1" applyProtection="1">
      <alignment horizontal="center" vertical="center"/>
      <protection hidden="1"/>
    </xf>
    <xf numFmtId="185" fontId="6" fillId="3" borderId="28" xfId="0" applyNumberFormat="1" applyFont="1" applyFill="1" applyBorder="1" applyAlignment="1" applyProtection="1">
      <alignment horizontal="center" vertical="center"/>
      <protection hidden="1"/>
    </xf>
    <xf numFmtId="185" fontId="6" fillId="3" borderId="1" xfId="0" applyNumberFormat="1" applyFont="1" applyFill="1" applyBorder="1" applyAlignment="1" applyProtection="1">
      <alignment horizontal="center" vertical="center"/>
      <protection hidden="1"/>
    </xf>
    <xf numFmtId="186" fontId="6" fillId="3" borderId="1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185" fontId="6" fillId="3" borderId="29" xfId="0" applyNumberFormat="1" applyFont="1" applyFill="1" applyBorder="1" applyAlignment="1" applyProtection="1">
      <alignment horizontal="center" vertical="center"/>
      <protection hidden="1"/>
    </xf>
    <xf numFmtId="185" fontId="6" fillId="3" borderId="4" xfId="0" applyNumberFormat="1" applyFont="1" applyFill="1" applyBorder="1" applyAlignment="1" applyProtection="1">
      <alignment horizontal="center" vertical="center"/>
      <protection hidden="1"/>
    </xf>
    <xf numFmtId="186" fontId="6" fillId="3" borderId="4" xfId="0" applyNumberFormat="1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183" fontId="6" fillId="3" borderId="4" xfId="15" applyNumberFormat="1" applyFont="1" applyFill="1" applyBorder="1" applyAlignment="1" applyProtection="1">
      <alignment horizontal="center" vertical="top"/>
      <protection hidden="1"/>
    </xf>
    <xf numFmtId="196" fontId="4" fillId="0" borderId="0" xfId="0" applyNumberFormat="1" applyFont="1" applyAlignment="1" applyProtection="1">
      <alignment horizontal="center" vertical="center"/>
      <protection hidden="1"/>
    </xf>
    <xf numFmtId="197" fontId="4" fillId="0" borderId="0" xfId="0" applyNumberFormat="1" applyFont="1" applyAlignment="1" applyProtection="1">
      <alignment horizontal="center" vertical="center"/>
      <protection hidden="1"/>
    </xf>
    <xf numFmtId="198" fontId="4" fillId="0" borderId="0" xfId="0" applyNumberFormat="1" applyFont="1" applyAlignment="1" applyProtection="1">
      <alignment horizontal="center" vertical="center"/>
      <protection hidden="1"/>
    </xf>
    <xf numFmtId="167" fontId="0" fillId="3" borderId="13" xfId="15" applyFill="1" applyBorder="1" applyAlignment="1" applyProtection="1">
      <alignment/>
      <protection hidden="1"/>
    </xf>
    <xf numFmtId="11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5" xfId="0" applyFont="1" applyFill="1" applyBorder="1" applyAlignment="1" applyProtection="1">
      <alignment horizontal="center"/>
      <protection hidden="1"/>
    </xf>
    <xf numFmtId="0" fontId="23" fillId="3" borderId="12" xfId="0" applyFont="1" applyFill="1" applyBorder="1" applyAlignment="1" applyProtection="1">
      <alignment horizontal="center" vertical="top"/>
      <protection hidden="1"/>
    </xf>
    <xf numFmtId="0" fontId="23" fillId="3" borderId="15" xfId="0" applyFont="1" applyFill="1" applyBorder="1" applyAlignment="1" applyProtection="1">
      <alignment horizontal="center" vertical="top"/>
      <protection hidden="1"/>
    </xf>
    <xf numFmtId="199" fontId="0" fillId="0" borderId="0" xfId="15" applyNumberFormat="1" applyAlignment="1" applyProtection="1">
      <alignment/>
      <protection hidden="1"/>
    </xf>
    <xf numFmtId="199" fontId="0" fillId="0" borderId="0" xfId="15" applyNumberFormat="1" applyAlignment="1">
      <alignment horizontal="center"/>
    </xf>
    <xf numFmtId="199" fontId="0" fillId="0" borderId="0" xfId="15" applyNumberFormat="1" applyAlignment="1" applyProtection="1">
      <alignment horizontal="center"/>
      <protection hidden="1"/>
    </xf>
    <xf numFmtId="201" fontId="7" fillId="3" borderId="12" xfId="0" applyNumberFormat="1" applyFont="1" applyFill="1" applyBorder="1" applyAlignment="1" applyProtection="1">
      <alignment horizontal="center"/>
      <protection locked="0"/>
    </xf>
    <xf numFmtId="201" fontId="7" fillId="3" borderId="1" xfId="0" applyNumberFormat="1" applyFont="1" applyFill="1" applyBorder="1" applyAlignment="1" applyProtection="1">
      <alignment horizontal="center"/>
      <protection locked="0"/>
    </xf>
    <xf numFmtId="202" fontId="7" fillId="3" borderId="11" xfId="0" applyNumberFormat="1" applyFont="1" applyFill="1" applyBorder="1" applyAlignment="1" applyProtection="1">
      <alignment horizontal="center"/>
      <protection locked="0"/>
    </xf>
    <xf numFmtId="202" fontId="7" fillId="3" borderId="4" xfId="0" applyNumberFormat="1" applyFont="1" applyFill="1" applyBorder="1" applyAlignment="1" applyProtection="1">
      <alignment horizontal="center"/>
      <protection locked="0"/>
    </xf>
    <xf numFmtId="202" fontId="7" fillId="3" borderId="30" xfId="0" applyNumberFormat="1" applyFont="1" applyFill="1" applyBorder="1" applyAlignment="1" applyProtection="1">
      <alignment horizontal="center"/>
      <protection locked="0"/>
    </xf>
    <xf numFmtId="201" fontId="9" fillId="3" borderId="1" xfId="0" applyNumberFormat="1" applyFont="1" applyFill="1" applyBorder="1" applyAlignment="1" applyProtection="1">
      <alignment horizontal="center" vertical="center"/>
      <protection hidden="1"/>
    </xf>
    <xf numFmtId="201" fontId="2" fillId="3" borderId="1" xfId="0" applyNumberFormat="1" applyFont="1" applyFill="1" applyBorder="1" applyAlignment="1" applyProtection="1">
      <alignment horizontal="center" vertical="center"/>
      <protection hidden="1"/>
    </xf>
    <xf numFmtId="201" fontId="2" fillId="3" borderId="4" xfId="0" applyNumberFormat="1" applyFont="1" applyFill="1" applyBorder="1" applyAlignment="1" applyProtection="1">
      <alignment horizontal="center" vertical="center"/>
      <protection hidden="1"/>
    </xf>
    <xf numFmtId="201" fontId="2" fillId="3" borderId="1" xfId="15" applyNumberFormat="1" applyFont="1" applyFill="1" applyBorder="1" applyAlignment="1" applyProtection="1">
      <alignment horizontal="center" vertical="center"/>
      <protection hidden="1"/>
    </xf>
    <xf numFmtId="201" fontId="2" fillId="3" borderId="4" xfId="15" applyNumberFormat="1" applyFont="1" applyFill="1" applyBorder="1" applyAlignment="1" applyProtection="1">
      <alignment horizontal="center" vertical="center"/>
      <protection hidden="1"/>
    </xf>
    <xf numFmtId="201" fontId="2" fillId="3" borderId="31" xfId="0" applyNumberFormat="1" applyFont="1" applyFill="1" applyBorder="1" applyAlignment="1" applyProtection="1">
      <alignment horizontal="center" vertical="center"/>
      <protection locked="0"/>
    </xf>
    <xf numFmtId="201" fontId="2" fillId="3" borderId="30" xfId="0" applyNumberFormat="1" applyFont="1" applyFill="1" applyBorder="1" applyAlignment="1" applyProtection="1">
      <alignment horizontal="center" vertical="center"/>
      <protection locked="0"/>
    </xf>
    <xf numFmtId="203" fontId="34" fillId="3" borderId="28" xfId="0" applyNumberFormat="1" applyFont="1" applyFill="1" applyBorder="1" applyAlignment="1" applyProtection="1">
      <alignment horizontal="center" vertical="center"/>
      <protection hidden="1"/>
    </xf>
    <xf numFmtId="203" fontId="34" fillId="3" borderId="29" xfId="0" applyNumberFormat="1" applyFont="1" applyFill="1" applyBorder="1" applyAlignment="1" applyProtection="1">
      <alignment horizontal="center" vertical="center"/>
      <protection hidden="1"/>
    </xf>
    <xf numFmtId="203" fontId="34" fillId="3" borderId="1" xfId="0" applyNumberFormat="1" applyFont="1" applyFill="1" applyBorder="1" applyAlignment="1" applyProtection="1">
      <alignment horizontal="center" vertical="center"/>
      <protection hidden="1"/>
    </xf>
    <xf numFmtId="203" fontId="34" fillId="3" borderId="4" xfId="0" applyNumberFormat="1" applyFont="1" applyFill="1" applyBorder="1" applyAlignment="1" applyProtection="1">
      <alignment horizontal="center" vertical="center"/>
      <protection hidden="1"/>
    </xf>
    <xf numFmtId="204" fontId="9" fillId="3" borderId="1" xfId="0" applyNumberFormat="1" applyFont="1" applyFill="1" applyBorder="1" applyAlignment="1" applyProtection="1">
      <alignment horizontal="center" vertical="center"/>
      <protection hidden="1"/>
    </xf>
    <xf numFmtId="204" fontId="9" fillId="3" borderId="4" xfId="0" applyNumberFormat="1" applyFont="1" applyFill="1" applyBorder="1" applyAlignment="1" applyProtection="1">
      <alignment horizontal="center" vertical="center"/>
      <protection hidden="1"/>
    </xf>
    <xf numFmtId="206" fontId="9" fillId="3" borderId="28" xfId="0" applyNumberFormat="1" applyFont="1" applyFill="1" applyBorder="1" applyAlignment="1" applyProtection="1">
      <alignment horizontal="center" vertical="center"/>
      <protection hidden="1"/>
    </xf>
    <xf numFmtId="206" fontId="9" fillId="3" borderId="1" xfId="0" applyNumberFormat="1" applyFont="1" applyFill="1" applyBorder="1" applyAlignment="1" applyProtection="1">
      <alignment horizontal="center" vertical="center"/>
      <protection hidden="1"/>
    </xf>
    <xf numFmtId="202" fontId="9" fillId="3" borderId="1" xfId="0" applyNumberFormat="1" applyFont="1" applyFill="1" applyBorder="1" applyAlignment="1" applyProtection="1">
      <alignment horizontal="center" vertical="center"/>
      <protection hidden="1"/>
    </xf>
    <xf numFmtId="201" fontId="9" fillId="3" borderId="4" xfId="0" applyNumberFormat="1" applyFont="1" applyFill="1" applyBorder="1" applyAlignment="1" applyProtection="1">
      <alignment horizontal="center" vertical="center"/>
      <protection hidden="1"/>
    </xf>
    <xf numFmtId="201" fontId="0" fillId="3" borderId="30" xfId="15" applyNumberFormat="1" applyFont="1" applyFill="1" applyBorder="1" applyAlignment="1" applyProtection="1">
      <alignment horizontal="center" vertical="center"/>
      <protection hidden="1"/>
    </xf>
    <xf numFmtId="206" fontId="10" fillId="3" borderId="4" xfId="0" applyNumberFormat="1" applyFont="1" applyFill="1" applyBorder="1" applyAlignment="1" applyProtection="1">
      <alignment horizontal="center"/>
      <protection hidden="1"/>
    </xf>
    <xf numFmtId="207" fontId="6" fillId="3" borderId="4" xfId="15" applyNumberFormat="1" applyFont="1" applyFill="1" applyBorder="1" applyAlignment="1" applyProtection="1">
      <alignment horizontal="center" vertical="top"/>
      <protection hidden="1"/>
    </xf>
    <xf numFmtId="202" fontId="6" fillId="3" borderId="4" xfId="0" applyNumberFormat="1" applyFont="1" applyFill="1" applyBorder="1" applyAlignment="1" applyProtection="1">
      <alignment horizontal="center"/>
      <protection hidden="1"/>
    </xf>
    <xf numFmtId="208" fontId="7" fillId="3" borderId="1" xfId="0" applyNumberFormat="1" applyFont="1" applyFill="1" applyBorder="1" applyAlignment="1" applyProtection="1">
      <alignment horizontal="center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2" fillId="3" borderId="29" xfId="0" applyFont="1" applyFill="1" applyBorder="1" applyAlignment="1" applyProtection="1">
      <alignment horizontal="center" vertical="center"/>
      <protection hidden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17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4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37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24" fillId="3" borderId="26" xfId="0" applyFont="1" applyFill="1" applyBorder="1" applyAlignment="1" applyProtection="1">
      <alignment horizontal="right" vertical="center"/>
      <protection hidden="1"/>
    </xf>
    <xf numFmtId="0" fontId="24" fillId="3" borderId="39" xfId="0" applyFont="1" applyFill="1" applyBorder="1" applyAlignment="1" applyProtection="1" quotePrefix="1">
      <alignment horizontal="right" vertical="center"/>
      <protection hidden="1"/>
    </xf>
    <xf numFmtId="0" fontId="24" fillId="3" borderId="40" xfId="0" applyFont="1" applyFill="1" applyBorder="1" applyAlignment="1" applyProtection="1" quotePrefix="1">
      <alignment horizontal="right" vertical="center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41" xfId="0" applyFont="1" applyFill="1" applyBorder="1" applyAlignment="1" applyProtection="1">
      <alignment horizontal="center" vertical="center" wrapText="1"/>
      <protection hidden="1"/>
    </xf>
    <xf numFmtId="188" fontId="3" fillId="3" borderId="2" xfId="0" applyNumberFormat="1" applyFont="1" applyFill="1" applyBorder="1" applyAlignment="1" applyProtection="1">
      <alignment horizontal="center" vertical="center"/>
      <protection hidden="1"/>
    </xf>
    <xf numFmtId="188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 quotePrefix="1">
      <alignment horizontal="center" vertical="center"/>
      <protection hidden="1"/>
    </xf>
    <xf numFmtId="171" fontId="9" fillId="3" borderId="1" xfId="0" applyNumberFormat="1" applyFont="1" applyFill="1" applyBorder="1" applyAlignment="1" applyProtection="1">
      <alignment horizontal="center" vertical="center"/>
      <protection locked="0"/>
    </xf>
    <xf numFmtId="171" fontId="9" fillId="3" borderId="4" xfId="0" applyNumberFormat="1" applyFont="1" applyFill="1" applyBorder="1" applyAlignment="1" applyProtection="1">
      <alignment horizontal="center" vertical="center"/>
      <protection locked="0"/>
    </xf>
    <xf numFmtId="202" fontId="7" fillId="3" borderId="37" xfId="0" applyNumberFormat="1" applyFont="1" applyFill="1" applyBorder="1" applyAlignment="1" applyProtection="1">
      <alignment horizontal="center"/>
      <protection locked="0"/>
    </xf>
    <xf numFmtId="202" fontId="7" fillId="3" borderId="42" xfId="0" applyNumberFormat="1" applyFont="1" applyFill="1" applyBorder="1" applyAlignment="1" applyProtection="1">
      <alignment horizontal="center"/>
      <protection locked="0"/>
    </xf>
    <xf numFmtId="202" fontId="7" fillId="3" borderId="4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205" fontId="9" fillId="3" borderId="1" xfId="0" applyNumberFormat="1" applyFont="1" applyFill="1" applyBorder="1" applyAlignment="1" applyProtection="1">
      <alignment horizontal="center" vertical="center"/>
      <protection hidden="1"/>
    </xf>
    <xf numFmtId="205" fontId="2" fillId="3" borderId="1" xfId="0" applyNumberFormat="1" applyFont="1" applyFill="1" applyBorder="1" applyAlignment="1" applyProtection="1">
      <alignment horizontal="center" vertical="center"/>
      <protection hidden="1"/>
    </xf>
    <xf numFmtId="205" fontId="2" fillId="3" borderId="37" xfId="0" applyNumberFormat="1" applyFont="1" applyFill="1" applyBorder="1" applyAlignment="1" applyProtection="1">
      <alignment horizontal="center" vertical="center"/>
      <protection hidden="1"/>
    </xf>
    <xf numFmtId="170" fontId="9" fillId="3" borderId="31" xfId="0" applyNumberFormat="1" applyFont="1" applyFill="1" applyBorder="1" applyAlignment="1" applyProtection="1">
      <alignment horizontal="center" vertical="center"/>
      <protection hidden="1"/>
    </xf>
    <xf numFmtId="170" fontId="2" fillId="3" borderId="31" xfId="0" applyNumberFormat="1" applyFont="1" applyFill="1" applyBorder="1" applyAlignment="1" applyProtection="1">
      <alignment horizontal="center" vertical="center"/>
      <protection hidden="1"/>
    </xf>
    <xf numFmtId="170" fontId="2" fillId="3" borderId="30" xfId="0" applyNumberFormat="1" applyFont="1" applyFill="1" applyBorder="1" applyAlignment="1" applyProtection="1">
      <alignment horizontal="center" vertical="center"/>
      <protection hidden="1"/>
    </xf>
    <xf numFmtId="188" fontId="3" fillId="3" borderId="28" xfId="0" applyNumberFormat="1" applyFont="1" applyFill="1" applyBorder="1" applyAlignment="1" applyProtection="1">
      <alignment horizontal="center" vertical="center"/>
      <protection hidden="1"/>
    </xf>
    <xf numFmtId="188" fontId="3" fillId="3" borderId="29" xfId="0" applyNumberFormat="1" applyFont="1" applyFill="1" applyBorder="1" applyAlignment="1" applyProtection="1">
      <alignment horizontal="center" vertical="center"/>
      <protection hidden="1"/>
    </xf>
    <xf numFmtId="0" fontId="35" fillId="3" borderId="34" xfId="0" applyFont="1" applyFill="1" applyBorder="1" applyAlignment="1" applyProtection="1">
      <alignment horizontal="center" vertical="center" wrapText="1" shrinkToFit="1"/>
      <protection hidden="1"/>
    </xf>
    <xf numFmtId="0" fontId="31" fillId="3" borderId="36" xfId="0" applyFont="1" applyFill="1" applyBorder="1" applyAlignment="1" applyProtection="1">
      <alignment horizontal="center" vertical="center" wrapText="1" shrinkToFit="1"/>
      <protection hidden="1"/>
    </xf>
    <xf numFmtId="0" fontId="31" fillId="3" borderId="5" xfId="0" applyFont="1" applyFill="1" applyBorder="1" applyAlignment="1" applyProtection="1">
      <alignment horizontal="center" vertical="center" wrapText="1" shrinkToFit="1"/>
      <protection hidden="1"/>
    </xf>
    <xf numFmtId="0" fontId="31" fillId="3" borderId="17" xfId="0" applyFont="1" applyFill="1" applyBorder="1" applyAlignment="1" applyProtection="1">
      <alignment horizontal="center" vertical="center" wrapText="1" shrinkToFit="1"/>
      <protection hidden="1"/>
    </xf>
    <xf numFmtId="193" fontId="0" fillId="3" borderId="0" xfId="0" applyNumberFormat="1" applyFill="1" applyBorder="1" applyAlignment="1" applyProtection="1">
      <alignment horizontal="center" vertical="top"/>
      <protection hidden="1"/>
    </xf>
    <xf numFmtId="1" fontId="7" fillId="3" borderId="44" xfId="0" applyNumberFormat="1" applyFont="1" applyFill="1" applyBorder="1" applyAlignment="1" applyProtection="1">
      <alignment horizontal="center" vertical="center"/>
      <protection locked="0"/>
    </xf>
    <xf numFmtId="1" fontId="7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187" fontId="7" fillId="3" borderId="1" xfId="0" applyNumberFormat="1" applyFont="1" applyFill="1" applyBorder="1" applyAlignment="1" applyProtection="1">
      <alignment horizontal="center"/>
      <protection locked="0"/>
    </xf>
    <xf numFmtId="187" fontId="7" fillId="3" borderId="4" xfId="0" applyNumberFormat="1" applyFont="1" applyFill="1" applyBorder="1" applyAlignment="1" applyProtection="1">
      <alignment horizontal="center"/>
      <protection locked="0"/>
    </xf>
    <xf numFmtId="200" fontId="7" fillId="3" borderId="1" xfId="0" applyNumberFormat="1" applyFont="1" applyFill="1" applyBorder="1" applyAlignment="1" applyProtection="1">
      <alignment horizontal="center" vertical="top"/>
      <protection locked="0"/>
    </xf>
    <xf numFmtId="200" fontId="7" fillId="3" borderId="4" xfId="0" applyNumberFormat="1" applyFont="1" applyFill="1" applyBorder="1" applyAlignment="1" applyProtection="1">
      <alignment horizontal="center" vertical="top"/>
      <protection locked="0"/>
    </xf>
    <xf numFmtId="0" fontId="0" fillId="3" borderId="14" xfId="0" applyFont="1" applyFill="1" applyBorder="1" applyAlignment="1" applyProtection="1">
      <alignment horizontal="center" vertical="center"/>
      <protection hidden="1"/>
    </xf>
    <xf numFmtId="0" fontId="0" fillId="3" borderId="28" xfId="0" applyFont="1" applyFill="1" applyBorder="1" applyAlignment="1" applyProtection="1">
      <alignment horizontal="center" vertical="center"/>
      <protection hidden="1"/>
    </xf>
    <xf numFmtId="0" fontId="0" fillId="3" borderId="29" xfId="0" applyFont="1" applyFill="1" applyBorder="1" applyAlignment="1" applyProtection="1">
      <alignment horizontal="center" vertical="center"/>
      <protection hidden="1"/>
    </xf>
    <xf numFmtId="201" fontId="7" fillId="3" borderId="12" xfId="0" applyNumberFormat="1" applyFont="1" applyFill="1" applyBorder="1" applyAlignment="1" applyProtection="1">
      <alignment horizontal="center"/>
      <protection locked="0"/>
    </xf>
    <xf numFmtId="201" fontId="7" fillId="3" borderId="1" xfId="0" applyNumberFormat="1" applyFont="1" applyFill="1" applyBorder="1" applyAlignment="1" applyProtection="1">
      <alignment horizontal="center"/>
      <protection locked="0"/>
    </xf>
    <xf numFmtId="209" fontId="9" fillId="3" borderId="49" xfId="0" applyNumberFormat="1" applyFont="1" applyFill="1" applyBorder="1" applyAlignment="1" applyProtection="1">
      <alignment horizontal="center" vertical="center"/>
      <protection hidden="1"/>
    </xf>
    <xf numFmtId="209" fontId="9" fillId="3" borderId="50" xfId="0" applyNumberFormat="1" applyFont="1" applyFill="1" applyBorder="1" applyAlignment="1" applyProtection="1">
      <alignment horizontal="center" vertical="center"/>
      <protection hidden="1"/>
    </xf>
    <xf numFmtId="209" fontId="9" fillId="3" borderId="51" xfId="0" applyNumberFormat="1" applyFont="1" applyFill="1" applyBorder="1" applyAlignment="1" applyProtection="1">
      <alignment horizontal="center" vertical="center"/>
      <protection hidden="1"/>
    </xf>
    <xf numFmtId="201" fontId="7" fillId="3" borderId="4" xfId="0" applyNumberFormat="1" applyFont="1" applyFill="1" applyBorder="1" applyAlignment="1" applyProtection="1">
      <alignment horizontal="center"/>
      <protection locked="0"/>
    </xf>
    <xf numFmtId="201" fontId="7" fillId="3" borderId="15" xfId="15" applyNumberFormat="1" applyFont="1" applyFill="1" applyBorder="1" applyAlignment="1" applyProtection="1">
      <alignment horizontal="center" vertical="top"/>
      <protection locked="0"/>
    </xf>
    <xf numFmtId="201" fontId="7" fillId="3" borderId="31" xfId="15" applyNumberFormat="1" applyFont="1" applyFill="1" applyBorder="1" applyAlignment="1" applyProtection="1">
      <alignment horizontal="center" vertical="top"/>
      <protection locked="0"/>
    </xf>
    <xf numFmtId="201" fontId="7" fillId="3" borderId="30" xfId="15" applyNumberFormat="1" applyFont="1" applyFill="1" applyBorder="1" applyAlignment="1" applyProtection="1">
      <alignment horizontal="center" vertical="top"/>
      <protection locked="0"/>
    </xf>
    <xf numFmtId="201" fontId="7" fillId="3" borderId="9" xfId="15" applyNumberFormat="1" applyFont="1" applyFill="1" applyBorder="1" applyAlignment="1" applyProtection="1">
      <alignment horizontal="center" vertical="top"/>
      <protection locked="0"/>
    </xf>
    <xf numFmtId="201" fontId="7" fillId="3" borderId="10" xfId="15" applyNumberFormat="1" applyFont="1" applyFill="1" applyBorder="1" applyAlignment="1" applyProtection="1">
      <alignment horizontal="center" vertical="top"/>
      <protection locked="0"/>
    </xf>
    <xf numFmtId="201" fontId="7" fillId="3" borderId="52" xfId="15" applyNumberFormat="1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8000"/>
      </font>
      <border/>
    </dxf>
    <dxf>
      <font>
        <color rgb="FF3399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14</xdr:row>
      <xdr:rowOff>85725</xdr:rowOff>
    </xdr:from>
    <xdr:to>
      <xdr:col>6</xdr:col>
      <xdr:colOff>1276350</xdr:colOff>
      <xdr:row>22</xdr:row>
      <xdr:rowOff>142875</xdr:rowOff>
    </xdr:to>
    <xdr:pic>
      <xdr:nvPicPr>
        <xdr:cNvPr id="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048000"/>
          <a:ext cx="2943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57150</xdr:rowOff>
    </xdr:from>
    <xdr:to>
      <xdr:col>0</xdr:col>
      <xdr:colOff>2409825</xdr:colOff>
      <xdr:row>16</xdr:row>
      <xdr:rowOff>142875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" y="3019425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123825</xdr:colOff>
      <xdr:row>14</xdr:row>
      <xdr:rowOff>57150</xdr:rowOff>
    </xdr:from>
    <xdr:to>
      <xdr:col>3</xdr:col>
      <xdr:colOff>266700</xdr:colOff>
      <xdr:row>16</xdr:row>
      <xdr:rowOff>142875</xdr:rowOff>
    </xdr:to>
    <xdr:pic>
      <xdr:nvPicPr>
        <xdr:cNvPr id="3" name="Toggle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43175" y="3019425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676275</xdr:colOff>
      <xdr:row>49</xdr:row>
      <xdr:rowOff>142875</xdr:rowOff>
    </xdr:from>
    <xdr:to>
      <xdr:col>3</xdr:col>
      <xdr:colOff>571500</xdr:colOff>
      <xdr:row>52</xdr:row>
      <xdr:rowOff>9525</xdr:rowOff>
    </xdr:to>
    <xdr:pic>
      <xdr:nvPicPr>
        <xdr:cNvPr id="4" name="Toggle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7886700"/>
          <a:ext cx="189547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30</xdr:row>
      <xdr:rowOff>57150</xdr:rowOff>
    </xdr:from>
    <xdr:to>
      <xdr:col>6</xdr:col>
      <xdr:colOff>1333500</xdr:colOff>
      <xdr:row>31</xdr:row>
      <xdr:rowOff>123825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58175" y="5524500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14</xdr:row>
      <xdr:rowOff>47625</xdr:rowOff>
    </xdr:from>
    <xdr:to>
      <xdr:col>4</xdr:col>
      <xdr:colOff>981075</xdr:colOff>
      <xdr:row>16</xdr:row>
      <xdr:rowOff>123825</xdr:rowOff>
    </xdr:to>
    <xdr:pic>
      <xdr:nvPicPr>
        <xdr:cNvPr id="6" name="ToggleButton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810125" y="3009900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447675</xdr:colOff>
      <xdr:row>20</xdr:row>
      <xdr:rowOff>28575</xdr:rowOff>
    </xdr:from>
    <xdr:to>
      <xdr:col>6</xdr:col>
      <xdr:colOff>1285875</xdr:colOff>
      <xdr:row>21</xdr:row>
      <xdr:rowOff>171450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0" y="420052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2095500</xdr:colOff>
      <xdr:row>0</xdr:row>
      <xdr:rowOff>390525</xdr:rowOff>
    </xdr:to>
    <xdr:pic>
      <xdr:nvPicPr>
        <xdr:cNvPr id="8" name="Bild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66675"/>
          <a:ext cx="1981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11"/>
  <dimension ref="A1:BP85"/>
  <sheetViews>
    <sheetView workbookViewId="0" topLeftCell="A26">
      <selection activeCell="L79" sqref="L79"/>
    </sheetView>
  </sheetViews>
  <sheetFormatPr defaultColWidth="9.140625" defaultRowHeight="12.75"/>
  <cols>
    <col min="1" max="3" width="11.57421875" style="0" customWidth="1"/>
    <col min="4" max="4" width="18.421875" style="0" customWidth="1"/>
    <col min="5" max="5" width="16.8515625" style="0" bestFit="1" customWidth="1"/>
    <col min="6" max="6" width="19.140625" style="0" customWidth="1"/>
    <col min="7" max="7" width="18.57421875" style="0" customWidth="1"/>
    <col min="8" max="8" width="15.8515625" style="0" bestFit="1" customWidth="1"/>
    <col min="9" max="9" width="16.00390625" style="0" customWidth="1"/>
    <col min="10" max="12" width="15.00390625" style="0" bestFit="1" customWidth="1"/>
    <col min="13" max="13" width="18.00390625" style="0" customWidth="1"/>
    <col min="14" max="14" width="18.28125" style="0" customWidth="1"/>
    <col min="15" max="15" width="17.8515625" style="0" customWidth="1"/>
    <col min="16" max="16" width="17.28125" style="0" customWidth="1"/>
    <col min="17" max="17" width="16.00390625" style="0" customWidth="1"/>
    <col min="18" max="18" width="15.140625" style="0" customWidth="1"/>
    <col min="19" max="19" width="14.140625" style="0" customWidth="1"/>
    <col min="20" max="21" width="10.8515625" style="0" bestFit="1" customWidth="1"/>
    <col min="22" max="22" width="15.00390625" style="0" bestFit="1" customWidth="1"/>
    <col min="23" max="25" width="15.00390625" style="0" customWidth="1"/>
    <col min="26" max="27" width="11.57421875" style="0" customWidth="1"/>
    <col min="28" max="29" width="16.57421875" style="0" bestFit="1" customWidth="1"/>
    <col min="30" max="30" width="15.57421875" style="0" bestFit="1" customWidth="1"/>
    <col min="31" max="50" width="11.57421875" style="0" customWidth="1"/>
    <col min="51" max="53" width="15.57421875" style="0" bestFit="1" customWidth="1"/>
    <col min="54" max="16384" width="11.57421875" style="0" customWidth="1"/>
  </cols>
  <sheetData>
    <row r="1" spans="1:20" ht="15">
      <c r="A1" s="229" t="s">
        <v>449</v>
      </c>
      <c r="B1" s="229"/>
      <c r="C1" s="229"/>
      <c r="D1" s="229"/>
      <c r="E1" s="229"/>
      <c r="F1" s="229"/>
      <c r="G1" s="5"/>
      <c r="H1" s="229" t="s">
        <v>450</v>
      </c>
      <c r="I1" s="229"/>
      <c r="J1" s="229"/>
      <c r="K1" s="229"/>
      <c r="L1" s="229"/>
      <c r="M1" s="229"/>
      <c r="O1" s="229" t="s">
        <v>451</v>
      </c>
      <c r="P1" s="229"/>
      <c r="Q1" s="229"/>
      <c r="R1" s="229"/>
      <c r="S1" s="229"/>
      <c r="T1" s="229"/>
    </row>
    <row r="2" spans="1:20" ht="12.75">
      <c r="A2" s="230">
        <v>6</v>
      </c>
      <c r="B2" s="230"/>
      <c r="C2" s="230">
        <v>8</v>
      </c>
      <c r="D2" s="230"/>
      <c r="E2" s="230">
        <v>10</v>
      </c>
      <c r="F2" s="230"/>
      <c r="G2" s="4"/>
      <c r="H2" s="230">
        <v>6</v>
      </c>
      <c r="I2" s="230"/>
      <c r="J2" s="230">
        <v>8</v>
      </c>
      <c r="K2" s="230"/>
      <c r="L2" s="230">
        <v>10</v>
      </c>
      <c r="M2" s="230"/>
      <c r="O2" s="230">
        <v>6</v>
      </c>
      <c r="P2" s="230"/>
      <c r="Q2" s="230">
        <v>8</v>
      </c>
      <c r="R2" s="230"/>
      <c r="S2" s="230">
        <v>10</v>
      </c>
      <c r="T2" s="230"/>
    </row>
    <row r="3" spans="1:20" ht="12.75">
      <c r="A3" t="s">
        <v>452</v>
      </c>
      <c r="B3" t="s">
        <v>453</v>
      </c>
      <c r="C3" t="s">
        <v>452</v>
      </c>
      <c r="D3" t="s">
        <v>453</v>
      </c>
      <c r="E3" t="s">
        <v>452</v>
      </c>
      <c r="F3" t="s">
        <v>453</v>
      </c>
      <c r="H3" t="s">
        <v>452</v>
      </c>
      <c r="I3" t="s">
        <v>453</v>
      </c>
      <c r="J3" t="s">
        <v>452</v>
      </c>
      <c r="K3" t="s">
        <v>453</v>
      </c>
      <c r="L3" t="s">
        <v>452</v>
      </c>
      <c r="M3" t="s">
        <v>453</v>
      </c>
      <c r="O3" t="s">
        <v>452</v>
      </c>
      <c r="P3" t="s">
        <v>453</v>
      </c>
      <c r="Q3" t="s">
        <v>452</v>
      </c>
      <c r="R3" t="s">
        <v>453</v>
      </c>
      <c r="S3" t="s">
        <v>452</v>
      </c>
      <c r="T3" t="s">
        <v>453</v>
      </c>
    </row>
    <row r="4" spans="1:20" ht="12.75">
      <c r="A4" s="6">
        <v>43.878438016464365</v>
      </c>
      <c r="B4" s="6">
        <v>44.90062112893194</v>
      </c>
      <c r="C4" s="6">
        <v>98.9504644936831</v>
      </c>
      <c r="D4" s="6">
        <v>58.72277326414525</v>
      </c>
      <c r="E4" s="6">
        <v>120.4609487656463</v>
      </c>
      <c r="F4" s="6">
        <v>56.46401827161837</v>
      </c>
      <c r="G4" s="6"/>
      <c r="H4" s="6">
        <v>42.4684867425603</v>
      </c>
      <c r="I4" s="6">
        <v>48.15062531301858</v>
      </c>
      <c r="J4" s="6">
        <v>127.81992473493676</v>
      </c>
      <c r="K4" s="6">
        <v>88.90104745713295</v>
      </c>
      <c r="L4" s="6">
        <v>58.607117112643536</v>
      </c>
      <c r="M4" s="6">
        <v>38.33955347829006</v>
      </c>
      <c r="O4">
        <v>41.61909754668243</v>
      </c>
      <c r="P4">
        <v>28.176637267183665</v>
      </c>
      <c r="Q4" s="6">
        <v>60.03033643277229</v>
      </c>
      <c r="R4" s="6">
        <v>30.542970622534188</v>
      </c>
      <c r="S4">
        <v>64.17449947501215</v>
      </c>
      <c r="T4">
        <v>25.61413078662682</v>
      </c>
    </row>
    <row r="5" spans="1:20" ht="12.75">
      <c r="A5" s="6">
        <v>60.74121182946069</v>
      </c>
      <c r="B5" s="6">
        <v>54.12005519700925</v>
      </c>
      <c r="C5" s="6">
        <v>73.26424271822349</v>
      </c>
      <c r="D5" s="6">
        <v>50.49460435788591</v>
      </c>
      <c r="E5" s="6">
        <v>81.73117670387045</v>
      </c>
      <c r="F5" s="6">
        <v>46.315103316164</v>
      </c>
      <c r="G5" s="6"/>
      <c r="H5" s="6">
        <v>64.48784113891348</v>
      </c>
      <c r="I5" s="6">
        <v>66.73229156898044</v>
      </c>
      <c r="J5" s="6">
        <v>100.47141993492814</v>
      </c>
      <c r="K5" s="6">
        <v>76.48394054022889</v>
      </c>
      <c r="L5" s="6">
        <v>85.05035819009377</v>
      </c>
      <c r="M5" s="6">
        <v>51.99776613398461</v>
      </c>
      <c r="O5">
        <v>62.89787237032541</v>
      </c>
      <c r="P5">
        <v>36.91200589286077</v>
      </c>
      <c r="Q5" s="6">
        <v>60.11626512869466</v>
      </c>
      <c r="R5" s="6">
        <v>30.58183413584405</v>
      </c>
      <c r="S5">
        <v>85.32864048065237</v>
      </c>
      <c r="T5">
        <v>31.812328866325835</v>
      </c>
    </row>
    <row r="6" spans="1:20" ht="12.75">
      <c r="A6" s="6">
        <v>83.76771718716408</v>
      </c>
      <c r="B6" s="6">
        <v>64.46836062851429</v>
      </c>
      <c r="C6" s="6">
        <v>52.90390089027753</v>
      </c>
      <c r="D6" s="6">
        <v>40.724476867826766</v>
      </c>
      <c r="E6" s="6">
        <v>59.58124839369287</v>
      </c>
      <c r="F6" s="6">
        <v>38.02625315545109</v>
      </c>
      <c r="G6" s="6"/>
      <c r="H6" s="6">
        <v>84.5303115116888</v>
      </c>
      <c r="I6" s="6">
        <v>80.82277925694525</v>
      </c>
      <c r="J6" s="6">
        <v>79.84360780995898</v>
      </c>
      <c r="K6" s="6">
        <v>66.06338911863958</v>
      </c>
      <c r="L6" s="6">
        <v>122.63068996691443</v>
      </c>
      <c r="M6" s="6">
        <v>68.7641512636069</v>
      </c>
      <c r="O6">
        <v>82.83293690459479</v>
      </c>
      <c r="P6">
        <v>43.70793388948945</v>
      </c>
      <c r="Q6" s="6">
        <v>88.13552816219715</v>
      </c>
      <c r="R6" s="6">
        <v>39.10212186528327</v>
      </c>
      <c r="S6">
        <v>120.17315743170722</v>
      </c>
      <c r="T6">
        <v>39.04475318230217</v>
      </c>
    </row>
    <row r="7" spans="1:20" ht="12.75">
      <c r="A7" s="6">
        <v>82.80394706395737</v>
      </c>
      <c r="B7" s="6">
        <v>63.93647707008556</v>
      </c>
      <c r="C7" s="6">
        <v>39.943366727280505</v>
      </c>
      <c r="D7" s="6">
        <v>33.424079301410984</v>
      </c>
      <c r="E7" s="6">
        <v>60.042746972387135</v>
      </c>
      <c r="F7" s="6">
        <v>38.27632833392151</v>
      </c>
      <c r="H7">
        <v>83.39579606636781</v>
      </c>
      <c r="I7">
        <v>78.02711617485562</v>
      </c>
      <c r="J7" s="6">
        <v>62.80222787456031</v>
      </c>
      <c r="K7" s="6">
        <v>55.77417283323985</v>
      </c>
      <c r="L7" s="6">
        <v>86.76074856771186</v>
      </c>
      <c r="M7" s="6">
        <v>53.49682417154492</v>
      </c>
      <c r="Q7" s="6">
        <v>116.37023429936774</v>
      </c>
      <c r="R7" s="6">
        <v>45.94024914690913</v>
      </c>
      <c r="S7" s="6"/>
      <c r="T7" s="6"/>
    </row>
    <row r="8" spans="1:20" ht="12.75">
      <c r="A8" s="6">
        <v>36.63120621564624</v>
      </c>
      <c r="B8" s="6">
        <v>40.74307940847646</v>
      </c>
      <c r="C8" s="6"/>
      <c r="D8" s="6"/>
      <c r="E8" s="6"/>
      <c r="F8" s="6"/>
      <c r="H8">
        <v>62.57185832209362</v>
      </c>
      <c r="I8">
        <v>64.21730080860868</v>
      </c>
      <c r="J8" s="6">
        <v>106.63466455300225</v>
      </c>
      <c r="K8" s="6">
        <v>79.21187939981515</v>
      </c>
      <c r="L8" s="6">
        <v>128.55316812733255</v>
      </c>
      <c r="M8" s="6">
        <v>69.33076497035556</v>
      </c>
      <c r="Q8" s="6">
        <v>44.2270528542339</v>
      </c>
      <c r="R8" s="6">
        <v>24.74151871521064</v>
      </c>
      <c r="S8" s="6"/>
      <c r="T8" s="6"/>
    </row>
    <row r="9" spans="1:13" ht="12.75">
      <c r="A9" s="6"/>
      <c r="B9" s="6"/>
      <c r="C9" s="6"/>
      <c r="D9" s="6"/>
      <c r="E9" s="6"/>
      <c r="F9" s="6"/>
      <c r="H9">
        <v>35.68229542431637</v>
      </c>
      <c r="I9">
        <v>40.32442341256416</v>
      </c>
      <c r="J9">
        <v>58.83658458336757</v>
      </c>
      <c r="K9">
        <v>51.238273661454706</v>
      </c>
      <c r="L9">
        <v>88.03990664090094</v>
      </c>
      <c r="M9">
        <v>53.2744144689791</v>
      </c>
    </row>
    <row r="10" spans="1:13" ht="12.75">
      <c r="A10" s="6"/>
      <c r="B10" s="6"/>
      <c r="C10" s="6"/>
      <c r="D10" s="6"/>
      <c r="E10" s="6"/>
      <c r="F10" s="6"/>
      <c r="J10">
        <v>80.58012687536986</v>
      </c>
      <c r="K10">
        <v>64.97219104295237</v>
      </c>
      <c r="L10">
        <v>63.68810680776489</v>
      </c>
      <c r="M10">
        <v>40.59537666188358</v>
      </c>
    </row>
    <row r="11" spans="1:11" ht="12.75">
      <c r="A11" s="6"/>
      <c r="B11" s="6"/>
      <c r="C11" s="6"/>
      <c r="D11" s="6"/>
      <c r="E11" s="6"/>
      <c r="F11" s="6"/>
      <c r="J11">
        <v>42.731584642776916</v>
      </c>
      <c r="K11">
        <v>37.89297217421713</v>
      </c>
    </row>
    <row r="12" spans="8:9" ht="12.75"/>
    <row r="14" spans="1:20" ht="12.75">
      <c r="A14" t="s">
        <v>47</v>
      </c>
      <c r="B14" t="s">
        <v>455</v>
      </c>
      <c r="C14" s="6" t="s">
        <v>47</v>
      </c>
      <c r="D14" s="6" t="s">
        <v>455</v>
      </c>
      <c r="E14" t="s">
        <v>47</v>
      </c>
      <c r="F14" t="s">
        <v>455</v>
      </c>
      <c r="H14" t="s">
        <v>47</v>
      </c>
      <c r="I14" t="s">
        <v>455</v>
      </c>
      <c r="J14" t="s">
        <v>47</v>
      </c>
      <c r="K14" t="s">
        <v>455</v>
      </c>
      <c r="L14" t="s">
        <v>47</v>
      </c>
      <c r="M14" t="s">
        <v>455</v>
      </c>
      <c r="O14" t="s">
        <v>47</v>
      </c>
      <c r="P14" t="s">
        <v>455</v>
      </c>
      <c r="Q14" t="s">
        <v>47</v>
      </c>
      <c r="R14" t="s">
        <v>455</v>
      </c>
      <c r="S14" t="s">
        <v>47</v>
      </c>
      <c r="T14" t="s">
        <v>455</v>
      </c>
    </row>
    <row r="15" spans="1:20" ht="12.75">
      <c r="A15" s="39" t="s">
        <v>1</v>
      </c>
      <c r="B15" s="42">
        <v>5.18436</v>
      </c>
      <c r="C15" s="43" t="s">
        <v>1</v>
      </c>
      <c r="D15" s="44">
        <v>4.26973</v>
      </c>
      <c r="E15" s="39" t="s">
        <v>1</v>
      </c>
      <c r="F15" s="42">
        <v>3.70944</v>
      </c>
      <c r="H15" t="s">
        <v>1</v>
      </c>
      <c r="I15">
        <v>2.99847</v>
      </c>
      <c r="J15" t="s">
        <v>1</v>
      </c>
      <c r="K15">
        <v>2.50889</v>
      </c>
      <c r="L15" t="s">
        <v>1</v>
      </c>
      <c r="M15">
        <v>1.93037</v>
      </c>
      <c r="O15" s="39" t="s">
        <v>1</v>
      </c>
      <c r="P15" s="42">
        <v>2.59463</v>
      </c>
      <c r="Q15" s="39" t="s">
        <v>1</v>
      </c>
      <c r="R15" s="42">
        <v>2.20753</v>
      </c>
      <c r="S15" s="39" t="s">
        <v>1</v>
      </c>
      <c r="T15" s="42">
        <v>1.82207</v>
      </c>
    </row>
    <row r="16" spans="1:20" ht="12.75">
      <c r="A16" s="39" t="s">
        <v>2</v>
      </c>
      <c r="B16" s="42">
        <v>0.57</v>
      </c>
      <c r="C16" s="39" t="s">
        <v>2</v>
      </c>
      <c r="D16" s="42">
        <v>0.57</v>
      </c>
      <c r="E16" s="39" t="s">
        <v>2</v>
      </c>
      <c r="F16" s="42">
        <v>0.57</v>
      </c>
      <c r="H16" t="s">
        <v>2</v>
      </c>
      <c r="I16">
        <v>0.74</v>
      </c>
      <c r="J16" t="s">
        <v>2</v>
      </c>
      <c r="K16">
        <v>0.74</v>
      </c>
      <c r="L16" t="s">
        <v>2</v>
      </c>
      <c r="M16">
        <v>0.74</v>
      </c>
      <c r="O16" s="39" t="s">
        <v>2</v>
      </c>
      <c r="P16" s="42">
        <v>0.64</v>
      </c>
      <c r="Q16" s="39" t="s">
        <v>2</v>
      </c>
      <c r="R16" s="42">
        <v>0.64</v>
      </c>
      <c r="S16" s="39" t="s">
        <v>2</v>
      </c>
      <c r="T16" s="42">
        <v>0.64</v>
      </c>
    </row>
    <row r="20" spans="2:4" ht="12.75">
      <c r="B20" s="20"/>
      <c r="C20" s="20" t="s">
        <v>456</v>
      </c>
      <c r="D20" s="20" t="s">
        <v>457</v>
      </c>
    </row>
    <row r="21" spans="2:4" ht="12.75">
      <c r="B21" s="20">
        <v>6</v>
      </c>
      <c r="C21" s="20">
        <f>B21^2*PI()/4</f>
        <v>28.274333882308138</v>
      </c>
      <c r="D21" s="174">
        <f>+(C21-$C$22)/$C$22</f>
        <v>-0.4375</v>
      </c>
    </row>
    <row r="22" spans="2:4" ht="12.75">
      <c r="B22" s="20">
        <v>8</v>
      </c>
      <c r="C22" s="20">
        <f>B22^2*PI()/4</f>
        <v>50.26548245743669</v>
      </c>
      <c r="D22" s="174">
        <f>+(C22-$C$22)/$C$22</f>
        <v>0</v>
      </c>
    </row>
    <row r="23" spans="2:4" ht="12.75">
      <c r="B23" s="20">
        <v>10</v>
      </c>
      <c r="C23" s="20">
        <f>B23^2*PI()/4</f>
        <v>78.53981633974483</v>
      </c>
      <c r="D23" s="174">
        <f>+(C23-$C$22)/$C$22</f>
        <v>0.5625000000000001</v>
      </c>
    </row>
    <row r="28" spans="2:5" ht="12.75">
      <c r="B28" s="57"/>
      <c r="C28" s="57"/>
      <c r="D28" s="21"/>
      <c r="E28" s="21"/>
    </row>
    <row r="29" spans="2:5" ht="13.5" thickBot="1">
      <c r="B29" s="57"/>
      <c r="C29" s="57"/>
      <c r="D29" s="21"/>
      <c r="E29" s="21"/>
    </row>
    <row r="30" spans="1:68" ht="12.75">
      <c r="A30" s="231" t="s">
        <v>43</v>
      </c>
      <c r="B30" s="232"/>
      <c r="C30" s="232"/>
      <c r="D30" s="233"/>
      <c r="E30" s="233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5"/>
      <c r="X30" s="242" t="s">
        <v>458</v>
      </c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5"/>
      <c r="AU30" s="242" t="s">
        <v>459</v>
      </c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5"/>
    </row>
    <row r="31" spans="1:68" ht="12.75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8"/>
      <c r="X31" s="236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8"/>
      <c r="AU31" s="236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8"/>
    </row>
    <row r="32" spans="1:68" ht="12.75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8"/>
      <c r="X32" s="236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8"/>
      <c r="AU32" s="236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8"/>
    </row>
    <row r="33" spans="1:68" ht="13.5" thickBot="1">
      <c r="A33" s="239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1"/>
      <c r="X33" s="239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1"/>
      <c r="AU33" s="239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1"/>
    </row>
    <row r="34" spans="1:68" ht="15">
      <c r="A34" s="45"/>
      <c r="B34" s="6"/>
      <c r="C34" s="6"/>
      <c r="D34" s="6"/>
      <c r="E34" s="6"/>
      <c r="F34" s="6"/>
      <c r="G34" s="6"/>
      <c r="H34" s="243">
        <v>900</v>
      </c>
      <c r="I34" s="243"/>
      <c r="J34" s="243"/>
      <c r="K34" s="243"/>
      <c r="L34" s="243"/>
      <c r="M34" s="243">
        <v>1200</v>
      </c>
      <c r="N34" s="243"/>
      <c r="O34" s="243"/>
      <c r="P34" s="243"/>
      <c r="Q34" s="243"/>
      <c r="R34" s="243">
        <v>1500</v>
      </c>
      <c r="S34" s="243"/>
      <c r="T34" s="243"/>
      <c r="U34" s="243"/>
      <c r="V34" s="244"/>
      <c r="X34" s="45"/>
      <c r="Y34" s="6"/>
      <c r="Z34" s="6"/>
      <c r="AA34" s="6"/>
      <c r="AB34" s="6"/>
      <c r="AC34" s="6"/>
      <c r="AD34" s="6"/>
      <c r="AE34" s="243">
        <v>900</v>
      </c>
      <c r="AF34" s="243"/>
      <c r="AG34" s="243"/>
      <c r="AH34" s="243"/>
      <c r="AI34" s="243"/>
      <c r="AJ34" s="243">
        <v>1200</v>
      </c>
      <c r="AK34" s="243"/>
      <c r="AL34" s="243"/>
      <c r="AM34" s="243"/>
      <c r="AN34" s="243"/>
      <c r="AO34" s="243">
        <v>1500</v>
      </c>
      <c r="AP34" s="243"/>
      <c r="AQ34" s="243"/>
      <c r="AR34" s="243"/>
      <c r="AS34" s="244"/>
      <c r="AU34" s="45"/>
      <c r="AV34" s="6"/>
      <c r="AW34" s="6"/>
      <c r="AX34" s="6"/>
      <c r="AY34" s="6"/>
      <c r="AZ34" s="6"/>
      <c r="BA34" s="6"/>
      <c r="BB34" s="243">
        <v>900</v>
      </c>
      <c r="BC34" s="243"/>
      <c r="BD34" s="243"/>
      <c r="BE34" s="243"/>
      <c r="BF34" s="243"/>
      <c r="BG34" s="243">
        <v>1200</v>
      </c>
      <c r="BH34" s="243"/>
      <c r="BI34" s="243"/>
      <c r="BJ34" s="243"/>
      <c r="BK34" s="243"/>
      <c r="BL34" s="243">
        <v>1500</v>
      </c>
      <c r="BM34" s="243"/>
      <c r="BN34" s="243"/>
      <c r="BO34" s="243"/>
      <c r="BP34" s="244"/>
    </row>
    <row r="35" spans="1:68" ht="15">
      <c r="A35" s="46" t="s">
        <v>3</v>
      </c>
      <c r="B35" s="47"/>
      <c r="C35" s="47"/>
      <c r="D35" s="22" t="s">
        <v>27</v>
      </c>
      <c r="E35" s="22">
        <v>6</v>
      </c>
      <c r="F35" s="22">
        <v>8</v>
      </c>
      <c r="G35" s="22">
        <v>10</v>
      </c>
      <c r="H35" s="7" t="s">
        <v>28</v>
      </c>
      <c r="I35" s="8" t="s">
        <v>29</v>
      </c>
      <c r="J35" s="9">
        <v>6</v>
      </c>
      <c r="K35" s="9">
        <v>8</v>
      </c>
      <c r="L35" s="9">
        <v>10</v>
      </c>
      <c r="M35" s="7" t="s">
        <v>28</v>
      </c>
      <c r="N35" s="8" t="s">
        <v>29</v>
      </c>
      <c r="O35" s="7">
        <v>6</v>
      </c>
      <c r="P35" s="7">
        <v>8</v>
      </c>
      <c r="Q35" s="7">
        <v>10</v>
      </c>
      <c r="R35" s="7" t="s">
        <v>28</v>
      </c>
      <c r="S35" s="8" t="s">
        <v>29</v>
      </c>
      <c r="T35" s="7">
        <v>6</v>
      </c>
      <c r="U35" s="7">
        <v>8</v>
      </c>
      <c r="V35" s="48">
        <v>10</v>
      </c>
      <c r="X35" s="46" t="s">
        <v>3</v>
      </c>
      <c r="Y35" s="47"/>
      <c r="Z35" s="47"/>
      <c r="AA35" s="22" t="s">
        <v>27</v>
      </c>
      <c r="AB35" s="22">
        <v>6</v>
      </c>
      <c r="AC35" s="22">
        <v>8</v>
      </c>
      <c r="AD35" s="22">
        <v>10</v>
      </c>
      <c r="AE35" s="7" t="s">
        <v>28</v>
      </c>
      <c r="AF35" s="8" t="s">
        <v>29</v>
      </c>
      <c r="AG35" s="9">
        <v>6</v>
      </c>
      <c r="AH35" s="9">
        <v>8</v>
      </c>
      <c r="AI35" s="9">
        <v>10</v>
      </c>
      <c r="AJ35" s="7" t="s">
        <v>28</v>
      </c>
      <c r="AK35" s="8" t="s">
        <v>29</v>
      </c>
      <c r="AL35" s="7">
        <v>6</v>
      </c>
      <c r="AM35" s="7">
        <v>8</v>
      </c>
      <c r="AN35" s="7">
        <v>10</v>
      </c>
      <c r="AO35" s="7" t="s">
        <v>28</v>
      </c>
      <c r="AP35" s="8" t="s">
        <v>29</v>
      </c>
      <c r="AQ35" s="7">
        <v>6</v>
      </c>
      <c r="AR35" s="7">
        <v>8</v>
      </c>
      <c r="AS35" s="48">
        <v>10</v>
      </c>
      <c r="AU35" s="46" t="s">
        <v>3</v>
      </c>
      <c r="AV35" s="47"/>
      <c r="AW35" s="47"/>
      <c r="AX35" s="22" t="s">
        <v>27</v>
      </c>
      <c r="AY35" s="22">
        <v>6</v>
      </c>
      <c r="AZ35" s="22">
        <v>8</v>
      </c>
      <c r="BA35" s="22">
        <v>10</v>
      </c>
      <c r="BB35" s="7" t="s">
        <v>28</v>
      </c>
      <c r="BC35" s="8" t="s">
        <v>29</v>
      </c>
      <c r="BD35" s="9">
        <v>6</v>
      </c>
      <c r="BE35" s="9">
        <v>8</v>
      </c>
      <c r="BF35" s="9">
        <v>10</v>
      </c>
      <c r="BG35" s="7" t="s">
        <v>28</v>
      </c>
      <c r="BH35" s="8" t="s">
        <v>29</v>
      </c>
      <c r="BI35" s="7">
        <v>6</v>
      </c>
      <c r="BJ35" s="7">
        <v>8</v>
      </c>
      <c r="BK35" s="7">
        <v>10</v>
      </c>
      <c r="BL35" s="7" t="s">
        <v>28</v>
      </c>
      <c r="BM35" s="8" t="s">
        <v>29</v>
      </c>
      <c r="BN35" s="7">
        <v>6</v>
      </c>
      <c r="BO35" s="7">
        <v>8</v>
      </c>
      <c r="BP35" s="48">
        <v>10</v>
      </c>
    </row>
    <row r="36" spans="1:68" ht="12.75">
      <c r="A36" s="49" t="s">
        <v>0</v>
      </c>
      <c r="B36" s="50"/>
      <c r="C36" s="50"/>
      <c r="D36" s="50">
        <v>10</v>
      </c>
      <c r="E36" s="51">
        <f aca="true" t="shared" si="0" ref="E36:E74">+B$38*D36^B$39</f>
        <v>19.261723803222175</v>
      </c>
      <c r="F36" s="51">
        <f aca="true" t="shared" si="1" ref="F36:F74">+B$45*D36^B$46</f>
        <v>15.863551137330706</v>
      </c>
      <c r="G36" s="51">
        <f aca="true" t="shared" si="2" ref="G36:G74">+B$52*D36^B$53</f>
        <v>13.781876402222156</v>
      </c>
      <c r="H36" s="11">
        <f aca="true" t="shared" si="3" ref="H36:H74">+I36/3.6</f>
        <v>2.5</v>
      </c>
      <c r="I36" s="12">
        <f aca="true" t="shared" si="4" ref="I36:I74">+D36*(H$34/1000)</f>
        <v>9</v>
      </c>
      <c r="J36" s="13">
        <f aca="true" t="shared" si="5" ref="J36:J74">+E36*(H$34/1000)</f>
        <v>17.335551422899957</v>
      </c>
      <c r="K36" s="13">
        <f aca="true" t="shared" si="6" ref="K36:K74">+F36*(H$34/1000)</f>
        <v>14.277196023597636</v>
      </c>
      <c r="L36" s="13">
        <f aca="true" t="shared" si="7" ref="L36:L74">+G36*(H$34/1000)</f>
        <v>12.403688761999941</v>
      </c>
      <c r="M36" s="14">
        <f aca="true" t="shared" si="8" ref="M36:M74">+N36/3.6</f>
        <v>3.333333333333333</v>
      </c>
      <c r="N36" s="15">
        <f aca="true" t="shared" si="9" ref="N36:N74">+D36*(M$34/1000)</f>
        <v>12</v>
      </c>
      <c r="O36" s="13">
        <f aca="true" t="shared" si="10" ref="O36:O74">+E36*M$34/1000</f>
        <v>23.11406856386661</v>
      </c>
      <c r="P36" s="13">
        <f aca="true" t="shared" si="11" ref="P36:P74">+F36*M$34/1000</f>
        <v>19.036261364796847</v>
      </c>
      <c r="Q36" s="13">
        <f aca="true" t="shared" si="12" ref="Q36:Q74">+G36*M$34/1000</f>
        <v>16.538251682666587</v>
      </c>
      <c r="R36" s="15">
        <f aca="true" t="shared" si="13" ref="R36:R74">+S36/3.6</f>
        <v>4.166666666666667</v>
      </c>
      <c r="S36" s="15">
        <f aca="true" t="shared" si="14" ref="S36:S74">+D36*(R$34/1000)</f>
        <v>15</v>
      </c>
      <c r="T36" s="13">
        <f aca="true" t="shared" si="15" ref="T36:T74">+E36*R$34/1000</f>
        <v>28.892585704833262</v>
      </c>
      <c r="U36" s="13">
        <f aca="true" t="shared" si="16" ref="U36:U74">+F36*R$34/1000</f>
        <v>23.79532670599606</v>
      </c>
      <c r="V36" s="52">
        <f aca="true" t="shared" si="17" ref="V36:V74">+G36*R$34/1000</f>
        <v>20.672814603333233</v>
      </c>
      <c r="X36" s="49" t="s">
        <v>0</v>
      </c>
      <c r="Y36" s="50"/>
      <c r="Z36" s="50"/>
      <c r="AA36" s="50">
        <v>10</v>
      </c>
      <c r="AB36" s="51">
        <f aca="true" t="shared" si="18" ref="AB36:AB74">+Y$38*AA36^Y$39</f>
        <v>16.477818240358715</v>
      </c>
      <c r="AC36" s="51">
        <f aca="true" t="shared" si="19" ref="AC36:AC74">+Y$45*AA36^Y$46</f>
        <v>13.787376030126557</v>
      </c>
      <c r="AD36" s="51">
        <f aca="true" t="shared" si="20" ref="AD36:AD74">+Y$52*AA36^Y$53</f>
        <v>10.608172166685428</v>
      </c>
      <c r="AE36" s="11">
        <f aca="true" t="shared" si="21" ref="AE36:AE74">+AF36/3.6</f>
        <v>2.5</v>
      </c>
      <c r="AF36" s="12">
        <f aca="true" t="shared" si="22" ref="AF36:AF74">+AA36*(AE$34/1000)</f>
        <v>9</v>
      </c>
      <c r="AG36" s="13">
        <f aca="true" t="shared" si="23" ref="AG36:AG74">+AB36*(AE$34/1000)</f>
        <v>14.830036416322844</v>
      </c>
      <c r="AH36" s="13">
        <f aca="true" t="shared" si="24" ref="AH36:AH74">+AC36*(AE$34/1000)</f>
        <v>12.408638427113901</v>
      </c>
      <c r="AI36" s="13">
        <f aca="true" t="shared" si="25" ref="AI36:AI74">+AD36*(AE$34/1000)</f>
        <v>9.547354950016885</v>
      </c>
      <c r="AJ36" s="14">
        <f aca="true" t="shared" si="26" ref="AJ36:AJ74">+AK36/3.6</f>
        <v>3.333333333333333</v>
      </c>
      <c r="AK36" s="15">
        <f aca="true" t="shared" si="27" ref="AK36:AK74">+AA36*(AJ$34/1000)</f>
        <v>12</v>
      </c>
      <c r="AL36" s="13">
        <f aca="true" t="shared" si="28" ref="AL36:AL74">+AB36*AJ$34/1000</f>
        <v>19.773381888430457</v>
      </c>
      <c r="AM36" s="13">
        <f aca="true" t="shared" si="29" ref="AM36:AM74">+AC36*AJ$34/1000</f>
        <v>16.54485123615187</v>
      </c>
      <c r="AN36" s="13">
        <f aca="true" t="shared" si="30" ref="AN36:AN74">+AD36*AJ$34/1000</f>
        <v>12.729806600022513</v>
      </c>
      <c r="AO36" s="15">
        <f aca="true" t="shared" si="31" ref="AO36:AO74">+AP36/3.6</f>
        <v>4.166666666666667</v>
      </c>
      <c r="AP36" s="15">
        <f aca="true" t="shared" si="32" ref="AP36:AP74">+AA36*(AO$34/1000)</f>
        <v>15</v>
      </c>
      <c r="AQ36" s="13">
        <f aca="true" t="shared" si="33" ref="AQ36:AQ74">+AB36*AO$34/1000</f>
        <v>24.716727360538073</v>
      </c>
      <c r="AR36" s="13">
        <f aca="true" t="shared" si="34" ref="AR36:AR74">+AC36*AO$34/1000</f>
        <v>20.681064045189835</v>
      </c>
      <c r="AS36" s="52">
        <f aca="true" t="shared" si="35" ref="AS36:AS74">+AD36*AO$34/1000</f>
        <v>15.912258250028142</v>
      </c>
      <c r="AU36" s="49" t="s">
        <v>0</v>
      </c>
      <c r="AV36" s="50"/>
      <c r="AW36" s="50"/>
      <c r="AX36" s="50">
        <v>10</v>
      </c>
      <c r="AY36" s="51">
        <f aca="true" t="shared" si="36" ref="AY36:AY74">+AV$38*AX36^AV$39</f>
        <v>11.32597073805302</v>
      </c>
      <c r="AZ36" s="51">
        <f aca="true" t="shared" si="37" ref="AZ36:AZ74">+AV$45*AX36^AV$46</f>
        <v>9.636217951451338</v>
      </c>
      <c r="BA36" s="51">
        <f aca="true" t="shared" si="38" ref="BA36:BA74">+AV$52*AX36^AV$53</f>
        <v>7.953624024498393</v>
      </c>
      <c r="BB36" s="11">
        <f aca="true" t="shared" si="39" ref="BB36:BB74">+BC36/3.6</f>
        <v>2.5</v>
      </c>
      <c r="BC36" s="12">
        <f aca="true" t="shared" si="40" ref="BC36:BC74">+AX36*(BB$34/1000)</f>
        <v>9</v>
      </c>
      <c r="BD36" s="13">
        <f aca="true" t="shared" si="41" ref="BD36:BD74">+AY36*(BB$34/1000)</f>
        <v>10.193373664247718</v>
      </c>
      <c r="BE36" s="13">
        <f aca="true" t="shared" si="42" ref="BE36:BE74">+AZ36*(BB$34/1000)</f>
        <v>8.672596156306204</v>
      </c>
      <c r="BF36" s="13">
        <f aca="true" t="shared" si="43" ref="BF36:BF74">+BA36*(BB$34/1000)</f>
        <v>7.1582616220485535</v>
      </c>
      <c r="BG36" s="14">
        <f aca="true" t="shared" si="44" ref="BG36:BG74">+BH36/3.6</f>
        <v>3.333333333333333</v>
      </c>
      <c r="BH36" s="15">
        <f aca="true" t="shared" si="45" ref="BH36:BH74">+AX36*(BG$34/1000)</f>
        <v>12</v>
      </c>
      <c r="BI36" s="13">
        <f aca="true" t="shared" si="46" ref="BI36:BI74">+AY36*BG$34/1000</f>
        <v>13.591164885663623</v>
      </c>
      <c r="BJ36" s="13">
        <f aca="true" t="shared" si="47" ref="BJ36:BJ74">+AZ36*BG$34/1000</f>
        <v>11.563461541741605</v>
      </c>
      <c r="BK36" s="13">
        <f aca="true" t="shared" si="48" ref="BK36:BK74">+BA36*BG$34/1000</f>
        <v>9.544348829398071</v>
      </c>
      <c r="BL36" s="15">
        <f aca="true" t="shared" si="49" ref="BL36:BL74">+BM36/3.6</f>
        <v>4.166666666666667</v>
      </c>
      <c r="BM36" s="15">
        <f aca="true" t="shared" si="50" ref="BM36:BM74">+AX36*(BL$34/1000)</f>
        <v>15</v>
      </c>
      <c r="BN36" s="13">
        <f aca="true" t="shared" si="51" ref="BN36:BN74">+AY36*BL$34/1000</f>
        <v>16.988956107079527</v>
      </c>
      <c r="BO36" s="13">
        <f aca="true" t="shared" si="52" ref="BO36:BO74">+AZ36*BL$34/1000</f>
        <v>14.454326927177005</v>
      </c>
      <c r="BP36" s="52">
        <f aca="true" t="shared" si="53" ref="BP36:BP74">+BA36*BL$34/1000</f>
        <v>11.93043603674759</v>
      </c>
    </row>
    <row r="37" spans="1:68" ht="12.75">
      <c r="A37" s="45"/>
      <c r="B37" s="6"/>
      <c r="C37" s="6"/>
      <c r="D37" s="6">
        <v>15</v>
      </c>
      <c r="E37" s="51">
        <f t="shared" si="0"/>
        <v>24.26985428270249</v>
      </c>
      <c r="F37" s="51">
        <f t="shared" si="1"/>
        <v>19.988142205881402</v>
      </c>
      <c r="G37" s="51">
        <f t="shared" si="2"/>
        <v>17.365223146237515</v>
      </c>
      <c r="H37" s="11">
        <f t="shared" si="3"/>
        <v>3.75</v>
      </c>
      <c r="I37" s="12">
        <f t="shared" si="4"/>
        <v>13.5</v>
      </c>
      <c r="J37" s="13">
        <f t="shared" si="5"/>
        <v>21.84286885443224</v>
      </c>
      <c r="K37" s="13">
        <f t="shared" si="6"/>
        <v>17.98932798529326</v>
      </c>
      <c r="L37" s="13">
        <f t="shared" si="7"/>
        <v>15.628700831613763</v>
      </c>
      <c r="M37" s="14">
        <f t="shared" si="8"/>
        <v>5</v>
      </c>
      <c r="N37" s="15">
        <f t="shared" si="9"/>
        <v>18</v>
      </c>
      <c r="O37" s="13">
        <f t="shared" si="10"/>
        <v>29.12382513924299</v>
      </c>
      <c r="P37" s="13">
        <f t="shared" si="11"/>
        <v>23.98577064705768</v>
      </c>
      <c r="Q37" s="13">
        <f t="shared" si="12"/>
        <v>20.83826777548502</v>
      </c>
      <c r="R37" s="15">
        <f t="shared" si="13"/>
        <v>6.25</v>
      </c>
      <c r="S37" s="15">
        <f t="shared" si="14"/>
        <v>22.5</v>
      </c>
      <c r="T37" s="13">
        <f t="shared" si="15"/>
        <v>36.40478142405373</v>
      </c>
      <c r="U37" s="13">
        <f t="shared" si="16"/>
        <v>29.982213308822104</v>
      </c>
      <c r="V37" s="52">
        <f t="shared" si="17"/>
        <v>26.047834719356274</v>
      </c>
      <c r="X37" s="45"/>
      <c r="Y37" s="6"/>
      <c r="Z37" s="6"/>
      <c r="AA37" s="6">
        <v>15</v>
      </c>
      <c r="AB37" s="51">
        <f t="shared" si="18"/>
        <v>22.2437107868201</v>
      </c>
      <c r="AC37" s="51">
        <f t="shared" si="19"/>
        <v>18.611833220257356</v>
      </c>
      <c r="AD37" s="51">
        <f t="shared" si="20"/>
        <v>14.32016728249871</v>
      </c>
      <c r="AE37" s="11">
        <f t="shared" si="21"/>
        <v>3.75</v>
      </c>
      <c r="AF37" s="12">
        <f t="shared" si="22"/>
        <v>13.5</v>
      </c>
      <c r="AG37" s="13">
        <f t="shared" si="23"/>
        <v>20.01933970813809</v>
      </c>
      <c r="AH37" s="13">
        <f t="shared" si="24"/>
        <v>16.75064989823162</v>
      </c>
      <c r="AI37" s="13">
        <f t="shared" si="25"/>
        <v>12.88815055424884</v>
      </c>
      <c r="AJ37" s="14">
        <f t="shared" si="26"/>
        <v>5</v>
      </c>
      <c r="AK37" s="15">
        <f t="shared" si="27"/>
        <v>18</v>
      </c>
      <c r="AL37" s="13">
        <f t="shared" si="28"/>
        <v>26.69245294418412</v>
      </c>
      <c r="AM37" s="13">
        <f t="shared" si="29"/>
        <v>22.334199864308825</v>
      </c>
      <c r="AN37" s="13">
        <f t="shared" si="30"/>
        <v>17.184200738998452</v>
      </c>
      <c r="AO37" s="15">
        <f t="shared" si="31"/>
        <v>6.25</v>
      </c>
      <c r="AP37" s="15">
        <f t="shared" si="32"/>
        <v>22.5</v>
      </c>
      <c r="AQ37" s="13">
        <f t="shared" si="33"/>
        <v>33.36556618023015</v>
      </c>
      <c r="AR37" s="13">
        <f t="shared" si="34"/>
        <v>27.917749830386033</v>
      </c>
      <c r="AS37" s="52">
        <f t="shared" si="35"/>
        <v>21.480250923748066</v>
      </c>
      <c r="AU37" s="45"/>
      <c r="AV37" s="6"/>
      <c r="AW37" s="6"/>
      <c r="AX37" s="6">
        <v>15</v>
      </c>
      <c r="AY37" s="51">
        <f t="shared" si="36"/>
        <v>14.68161533048262</v>
      </c>
      <c r="AZ37" s="51">
        <f t="shared" si="37"/>
        <v>12.491224679626884</v>
      </c>
      <c r="BA37" s="51">
        <f t="shared" si="38"/>
        <v>10.31011390649629</v>
      </c>
      <c r="BB37" s="11">
        <f t="shared" si="39"/>
        <v>3.75</v>
      </c>
      <c r="BC37" s="12">
        <f t="shared" si="40"/>
        <v>13.5</v>
      </c>
      <c r="BD37" s="13">
        <f t="shared" si="41"/>
        <v>13.213453797434358</v>
      </c>
      <c r="BE37" s="13">
        <f t="shared" si="42"/>
        <v>11.242102211664195</v>
      </c>
      <c r="BF37" s="13">
        <f t="shared" si="43"/>
        <v>9.279102515846661</v>
      </c>
      <c r="BG37" s="14">
        <f t="shared" si="44"/>
        <v>5</v>
      </c>
      <c r="BH37" s="15">
        <f t="shared" si="45"/>
        <v>18</v>
      </c>
      <c r="BI37" s="13">
        <f t="shared" si="46"/>
        <v>17.61793839657914</v>
      </c>
      <c r="BJ37" s="13">
        <f t="shared" si="47"/>
        <v>14.98946961555226</v>
      </c>
      <c r="BK37" s="13">
        <f t="shared" si="48"/>
        <v>12.37213668779555</v>
      </c>
      <c r="BL37" s="15">
        <f t="shared" si="49"/>
        <v>6.25</v>
      </c>
      <c r="BM37" s="15">
        <f t="shared" si="50"/>
        <v>22.5</v>
      </c>
      <c r="BN37" s="13">
        <f t="shared" si="51"/>
        <v>22.02242299572393</v>
      </c>
      <c r="BO37" s="13">
        <f t="shared" si="52"/>
        <v>18.736837019440326</v>
      </c>
      <c r="BP37" s="52">
        <f t="shared" si="53"/>
        <v>15.465170859744436</v>
      </c>
    </row>
    <row r="38" spans="1:68" ht="12.75">
      <c r="A38" s="45" t="s">
        <v>1</v>
      </c>
      <c r="B38" s="6">
        <f>+B15</f>
        <v>5.18436</v>
      </c>
      <c r="C38" s="6"/>
      <c r="D38" s="50">
        <v>20</v>
      </c>
      <c r="E38" s="51">
        <f t="shared" si="0"/>
        <v>28.594482996829925</v>
      </c>
      <c r="F38" s="51">
        <f t="shared" si="1"/>
        <v>23.549815577246687</v>
      </c>
      <c r="G38" s="51">
        <f t="shared" si="2"/>
        <v>20.459520366595065</v>
      </c>
      <c r="H38" s="11">
        <f t="shared" si="3"/>
        <v>5</v>
      </c>
      <c r="I38" s="12">
        <f t="shared" si="4"/>
        <v>18</v>
      </c>
      <c r="J38" s="13">
        <f t="shared" si="5"/>
        <v>25.735034697146933</v>
      </c>
      <c r="K38" s="13">
        <f t="shared" si="6"/>
        <v>21.19483401952202</v>
      </c>
      <c r="L38" s="13">
        <f t="shared" si="7"/>
        <v>18.413568329935558</v>
      </c>
      <c r="M38" s="14">
        <f t="shared" si="8"/>
        <v>6.666666666666666</v>
      </c>
      <c r="N38" s="15">
        <f t="shared" si="9"/>
        <v>24</v>
      </c>
      <c r="O38" s="13">
        <f t="shared" si="10"/>
        <v>34.31337959619591</v>
      </c>
      <c r="P38" s="13">
        <f t="shared" si="11"/>
        <v>28.259778692696024</v>
      </c>
      <c r="Q38" s="13">
        <f t="shared" si="12"/>
        <v>24.551424439914076</v>
      </c>
      <c r="R38" s="15">
        <f t="shared" si="13"/>
        <v>8.333333333333334</v>
      </c>
      <c r="S38" s="15">
        <f t="shared" si="14"/>
        <v>30</v>
      </c>
      <c r="T38" s="13">
        <f t="shared" si="15"/>
        <v>42.89172449524489</v>
      </c>
      <c r="U38" s="13">
        <f t="shared" si="16"/>
        <v>35.32472336587003</v>
      </c>
      <c r="V38" s="52">
        <f t="shared" si="17"/>
        <v>30.689280549892597</v>
      </c>
      <c r="X38" s="45" t="s">
        <v>1</v>
      </c>
      <c r="Y38" s="6">
        <f>+I15</f>
        <v>2.99847</v>
      </c>
      <c r="Z38" s="6"/>
      <c r="AA38" s="50">
        <v>20</v>
      </c>
      <c r="AB38" s="51">
        <f t="shared" si="18"/>
        <v>27.520853902119985</v>
      </c>
      <c r="AC38" s="51">
        <f t="shared" si="19"/>
        <v>23.02734232674991</v>
      </c>
      <c r="AD38" s="51">
        <f t="shared" si="20"/>
        <v>17.717512847230537</v>
      </c>
      <c r="AE38" s="11">
        <f t="shared" si="21"/>
        <v>5</v>
      </c>
      <c r="AF38" s="12">
        <f t="shared" si="22"/>
        <v>18</v>
      </c>
      <c r="AG38" s="13">
        <f t="shared" si="23"/>
        <v>24.768768511907986</v>
      </c>
      <c r="AH38" s="13">
        <f t="shared" si="24"/>
        <v>20.72460809407492</v>
      </c>
      <c r="AI38" s="13">
        <f t="shared" si="25"/>
        <v>15.945761562507483</v>
      </c>
      <c r="AJ38" s="14">
        <f t="shared" si="26"/>
        <v>6.666666666666666</v>
      </c>
      <c r="AK38" s="15">
        <f t="shared" si="27"/>
        <v>24</v>
      </c>
      <c r="AL38" s="13">
        <f t="shared" si="28"/>
        <v>33.025024682543986</v>
      </c>
      <c r="AM38" s="13">
        <f t="shared" si="29"/>
        <v>27.632810792099892</v>
      </c>
      <c r="AN38" s="13">
        <f t="shared" si="30"/>
        <v>21.261015416676646</v>
      </c>
      <c r="AO38" s="15">
        <f t="shared" si="31"/>
        <v>8.333333333333334</v>
      </c>
      <c r="AP38" s="15">
        <f t="shared" si="32"/>
        <v>30</v>
      </c>
      <c r="AQ38" s="13">
        <f t="shared" si="33"/>
        <v>41.28128085317997</v>
      </c>
      <c r="AR38" s="13">
        <f t="shared" si="34"/>
        <v>34.54101349012487</v>
      </c>
      <c r="AS38" s="52">
        <f t="shared" si="35"/>
        <v>26.576269270845806</v>
      </c>
      <c r="AU38" s="45" t="s">
        <v>1</v>
      </c>
      <c r="AV38" s="6">
        <f>+P15</f>
        <v>2.59463</v>
      </c>
      <c r="AW38" s="6"/>
      <c r="AX38" s="50">
        <v>20</v>
      </c>
      <c r="AY38" s="51">
        <f t="shared" si="36"/>
        <v>17.6495904587244</v>
      </c>
      <c r="AZ38" s="51">
        <f t="shared" si="37"/>
        <v>15.016399419319086</v>
      </c>
      <c r="BA38" s="51">
        <f t="shared" si="38"/>
        <v>12.394364239651885</v>
      </c>
      <c r="BB38" s="11">
        <f t="shared" si="39"/>
        <v>5</v>
      </c>
      <c r="BC38" s="12">
        <f t="shared" si="40"/>
        <v>18</v>
      </c>
      <c r="BD38" s="13">
        <f t="shared" si="41"/>
        <v>15.884631412851961</v>
      </c>
      <c r="BE38" s="13">
        <f t="shared" si="42"/>
        <v>13.514759477387178</v>
      </c>
      <c r="BF38" s="13">
        <f t="shared" si="43"/>
        <v>11.154927815686698</v>
      </c>
      <c r="BG38" s="14">
        <f t="shared" si="44"/>
        <v>6.666666666666666</v>
      </c>
      <c r="BH38" s="15">
        <f t="shared" si="45"/>
        <v>24</v>
      </c>
      <c r="BI38" s="13">
        <f t="shared" si="46"/>
        <v>21.17950855046928</v>
      </c>
      <c r="BJ38" s="13">
        <f t="shared" si="47"/>
        <v>18.019679303182905</v>
      </c>
      <c r="BK38" s="13">
        <f t="shared" si="48"/>
        <v>14.873237087582261</v>
      </c>
      <c r="BL38" s="15">
        <f t="shared" si="49"/>
        <v>8.333333333333334</v>
      </c>
      <c r="BM38" s="15">
        <f t="shared" si="50"/>
        <v>30</v>
      </c>
      <c r="BN38" s="13">
        <f t="shared" si="51"/>
        <v>26.4743856880866</v>
      </c>
      <c r="BO38" s="13">
        <f t="shared" si="52"/>
        <v>22.52459912897863</v>
      </c>
      <c r="BP38" s="52">
        <f t="shared" si="53"/>
        <v>18.591546359477828</v>
      </c>
    </row>
    <row r="39" spans="1:68" ht="12.75">
      <c r="A39" s="45" t="s">
        <v>2</v>
      </c>
      <c r="B39" s="6">
        <f>+B16</f>
        <v>0.57</v>
      </c>
      <c r="C39" s="6"/>
      <c r="D39" s="6">
        <v>25</v>
      </c>
      <c r="E39" s="51">
        <f t="shared" si="0"/>
        <v>32.47289109980851</v>
      </c>
      <c r="F39" s="51">
        <f t="shared" si="1"/>
        <v>26.743991026006174</v>
      </c>
      <c r="G39" s="51">
        <f t="shared" si="2"/>
        <v>23.2345441214101</v>
      </c>
      <c r="H39" s="11">
        <f t="shared" si="3"/>
        <v>6.25</v>
      </c>
      <c r="I39" s="12">
        <f t="shared" si="4"/>
        <v>22.5</v>
      </c>
      <c r="J39" s="13">
        <f t="shared" si="5"/>
        <v>29.225601989827656</v>
      </c>
      <c r="K39" s="13">
        <f t="shared" si="6"/>
        <v>24.069591923405557</v>
      </c>
      <c r="L39" s="13">
        <f t="shared" si="7"/>
        <v>20.91108970926909</v>
      </c>
      <c r="M39" s="14">
        <f t="shared" si="8"/>
        <v>8.333333333333334</v>
      </c>
      <c r="N39" s="15">
        <f t="shared" si="9"/>
        <v>30</v>
      </c>
      <c r="O39" s="13">
        <f t="shared" si="10"/>
        <v>38.96746931977021</v>
      </c>
      <c r="P39" s="13">
        <f t="shared" si="11"/>
        <v>32.09278923120741</v>
      </c>
      <c r="Q39" s="13">
        <f t="shared" si="12"/>
        <v>27.881452945692118</v>
      </c>
      <c r="R39" s="15">
        <f t="shared" si="13"/>
        <v>10.416666666666666</v>
      </c>
      <c r="S39" s="15">
        <f t="shared" si="14"/>
        <v>37.5</v>
      </c>
      <c r="T39" s="13">
        <f t="shared" si="15"/>
        <v>48.70933664971276</v>
      </c>
      <c r="U39" s="13">
        <f t="shared" si="16"/>
        <v>40.11598653900926</v>
      </c>
      <c r="V39" s="52">
        <f t="shared" si="17"/>
        <v>34.85181618211515</v>
      </c>
      <c r="X39" s="45" t="s">
        <v>2</v>
      </c>
      <c r="Y39" s="6">
        <f>+I16</f>
        <v>0.74</v>
      </c>
      <c r="Z39" s="6"/>
      <c r="AA39" s="6">
        <v>25</v>
      </c>
      <c r="AB39" s="51">
        <f t="shared" si="18"/>
        <v>32.46200306744703</v>
      </c>
      <c r="AC39" s="51">
        <f t="shared" si="19"/>
        <v>27.16171743452066</v>
      </c>
      <c r="AD39" s="51">
        <f t="shared" si="20"/>
        <v>20.89855054788199</v>
      </c>
      <c r="AE39" s="11">
        <f t="shared" si="21"/>
        <v>6.25</v>
      </c>
      <c r="AF39" s="12">
        <f t="shared" si="22"/>
        <v>22.5</v>
      </c>
      <c r="AG39" s="13">
        <f t="shared" si="23"/>
        <v>29.215802760702328</v>
      </c>
      <c r="AH39" s="13">
        <f t="shared" si="24"/>
        <v>24.445545691068595</v>
      </c>
      <c r="AI39" s="13">
        <f t="shared" si="25"/>
        <v>18.80869549309379</v>
      </c>
      <c r="AJ39" s="14">
        <f t="shared" si="26"/>
        <v>8.333333333333334</v>
      </c>
      <c r="AK39" s="15">
        <f t="shared" si="27"/>
        <v>30</v>
      </c>
      <c r="AL39" s="13">
        <f t="shared" si="28"/>
        <v>38.95440368093643</v>
      </c>
      <c r="AM39" s="13">
        <f t="shared" si="29"/>
        <v>32.59406092142479</v>
      </c>
      <c r="AN39" s="13">
        <f t="shared" si="30"/>
        <v>25.078260657458387</v>
      </c>
      <c r="AO39" s="15">
        <f t="shared" si="31"/>
        <v>10.416666666666666</v>
      </c>
      <c r="AP39" s="15">
        <f t="shared" si="32"/>
        <v>37.5</v>
      </c>
      <c r="AQ39" s="13">
        <f t="shared" si="33"/>
        <v>48.69300460117054</v>
      </c>
      <c r="AR39" s="13">
        <f t="shared" si="34"/>
        <v>40.74257615178099</v>
      </c>
      <c r="AS39" s="52">
        <f t="shared" si="35"/>
        <v>31.347825821822983</v>
      </c>
      <c r="AU39" s="45" t="s">
        <v>2</v>
      </c>
      <c r="AV39" s="6">
        <f>+P16</f>
        <v>0.64</v>
      </c>
      <c r="AW39" s="6"/>
      <c r="AX39" s="6">
        <v>25</v>
      </c>
      <c r="AY39" s="51">
        <f t="shared" si="36"/>
        <v>20.35902805303051</v>
      </c>
      <c r="AZ39" s="51">
        <f t="shared" si="37"/>
        <v>17.321608552243074</v>
      </c>
      <c r="BA39" s="51">
        <f t="shared" si="38"/>
        <v>14.297057478170414</v>
      </c>
      <c r="BB39" s="11">
        <f t="shared" si="39"/>
        <v>6.25</v>
      </c>
      <c r="BC39" s="12">
        <f t="shared" si="40"/>
        <v>22.5</v>
      </c>
      <c r="BD39" s="13">
        <f t="shared" si="41"/>
        <v>18.32312524772746</v>
      </c>
      <c r="BE39" s="13">
        <f t="shared" si="42"/>
        <v>15.589447697018766</v>
      </c>
      <c r="BF39" s="13">
        <f t="shared" si="43"/>
        <v>12.867351730353374</v>
      </c>
      <c r="BG39" s="14">
        <f t="shared" si="44"/>
        <v>8.333333333333334</v>
      </c>
      <c r="BH39" s="15">
        <f t="shared" si="45"/>
        <v>30</v>
      </c>
      <c r="BI39" s="13">
        <f t="shared" si="46"/>
        <v>24.430833663636612</v>
      </c>
      <c r="BJ39" s="13">
        <f t="shared" si="47"/>
        <v>20.785930262691686</v>
      </c>
      <c r="BK39" s="13">
        <f t="shared" si="48"/>
        <v>17.156468973804497</v>
      </c>
      <c r="BL39" s="15">
        <f t="shared" si="49"/>
        <v>10.416666666666666</v>
      </c>
      <c r="BM39" s="15">
        <f t="shared" si="50"/>
        <v>37.5</v>
      </c>
      <c r="BN39" s="13">
        <f t="shared" si="51"/>
        <v>30.538542079545763</v>
      </c>
      <c r="BO39" s="13">
        <f t="shared" si="52"/>
        <v>25.98241282836461</v>
      </c>
      <c r="BP39" s="52">
        <f t="shared" si="53"/>
        <v>21.445586217255624</v>
      </c>
    </row>
    <row r="40" spans="1:68" ht="12.75">
      <c r="A40" s="45"/>
      <c r="B40" s="6"/>
      <c r="C40" s="6"/>
      <c r="D40" s="50">
        <v>30</v>
      </c>
      <c r="E40" s="51">
        <f t="shared" si="0"/>
        <v>36.029170738404225</v>
      </c>
      <c r="F40" s="51">
        <f t="shared" si="1"/>
        <v>29.672868237716262</v>
      </c>
      <c r="G40" s="51">
        <f t="shared" si="2"/>
        <v>25.77908306982273</v>
      </c>
      <c r="H40" s="11">
        <f t="shared" si="3"/>
        <v>7.5</v>
      </c>
      <c r="I40" s="12">
        <f t="shared" si="4"/>
        <v>27</v>
      </c>
      <c r="J40" s="13">
        <f t="shared" si="5"/>
        <v>32.4262536645638</v>
      </c>
      <c r="K40" s="13">
        <f t="shared" si="6"/>
        <v>26.705581413944635</v>
      </c>
      <c r="L40" s="13">
        <f t="shared" si="7"/>
        <v>23.201174762840456</v>
      </c>
      <c r="M40" s="14">
        <f t="shared" si="8"/>
        <v>10</v>
      </c>
      <c r="N40" s="15">
        <f t="shared" si="9"/>
        <v>36</v>
      </c>
      <c r="O40" s="13">
        <f t="shared" si="10"/>
        <v>43.23500488608507</v>
      </c>
      <c r="P40" s="13">
        <f t="shared" si="11"/>
        <v>35.60744188525951</v>
      </c>
      <c r="Q40" s="13">
        <f t="shared" si="12"/>
        <v>30.934899683787275</v>
      </c>
      <c r="R40" s="15">
        <f t="shared" si="13"/>
        <v>12.5</v>
      </c>
      <c r="S40" s="15">
        <f t="shared" si="14"/>
        <v>45</v>
      </c>
      <c r="T40" s="13">
        <f t="shared" si="15"/>
        <v>54.043756107606335</v>
      </c>
      <c r="U40" s="13">
        <f t="shared" si="16"/>
        <v>44.509302356574395</v>
      </c>
      <c r="V40" s="52">
        <f t="shared" si="17"/>
        <v>38.66862460473409</v>
      </c>
      <c r="X40" s="45"/>
      <c r="Y40" s="6"/>
      <c r="Z40" s="6"/>
      <c r="AA40" s="50">
        <v>30</v>
      </c>
      <c r="AB40" s="51">
        <f t="shared" si="18"/>
        <v>37.15090832266394</v>
      </c>
      <c r="AC40" s="51">
        <f t="shared" si="19"/>
        <v>31.08503416130504</v>
      </c>
      <c r="AD40" s="51">
        <f t="shared" si="20"/>
        <v>23.917197403616104</v>
      </c>
      <c r="AE40" s="11">
        <f t="shared" si="21"/>
        <v>7.5</v>
      </c>
      <c r="AF40" s="12">
        <f t="shared" si="22"/>
        <v>27</v>
      </c>
      <c r="AG40" s="13">
        <f t="shared" si="23"/>
        <v>33.43581749039755</v>
      </c>
      <c r="AH40" s="13">
        <f t="shared" si="24"/>
        <v>27.976530745174536</v>
      </c>
      <c r="AI40" s="13">
        <f t="shared" si="25"/>
        <v>21.525477663254495</v>
      </c>
      <c r="AJ40" s="14">
        <f t="shared" si="26"/>
        <v>10</v>
      </c>
      <c r="AK40" s="15">
        <f t="shared" si="27"/>
        <v>36</v>
      </c>
      <c r="AL40" s="13">
        <f t="shared" si="28"/>
        <v>44.58108998719673</v>
      </c>
      <c r="AM40" s="13">
        <f t="shared" si="29"/>
        <v>37.30204099356605</v>
      </c>
      <c r="AN40" s="13">
        <f t="shared" si="30"/>
        <v>28.700636884339325</v>
      </c>
      <c r="AO40" s="15">
        <f t="shared" si="31"/>
        <v>12.5</v>
      </c>
      <c r="AP40" s="15">
        <f t="shared" si="32"/>
        <v>45</v>
      </c>
      <c r="AQ40" s="13">
        <f t="shared" si="33"/>
        <v>55.726362483995906</v>
      </c>
      <c r="AR40" s="13">
        <f t="shared" si="34"/>
        <v>46.62755124195756</v>
      </c>
      <c r="AS40" s="52">
        <f t="shared" si="35"/>
        <v>35.87579610542415</v>
      </c>
      <c r="AU40" s="45"/>
      <c r="AV40" s="6"/>
      <c r="AW40" s="6"/>
      <c r="AX40" s="50">
        <v>30</v>
      </c>
      <c r="AY40" s="51">
        <f t="shared" si="36"/>
        <v>22.87878927542528</v>
      </c>
      <c r="AZ40" s="51">
        <f t="shared" si="37"/>
        <v>19.465439653892684</v>
      </c>
      <c r="BA40" s="51">
        <f t="shared" si="38"/>
        <v>16.066551136414112</v>
      </c>
      <c r="BB40" s="11">
        <f t="shared" si="39"/>
        <v>7.5</v>
      </c>
      <c r="BC40" s="12">
        <f t="shared" si="40"/>
        <v>27</v>
      </c>
      <c r="BD40" s="13">
        <f t="shared" si="41"/>
        <v>20.59091034788275</v>
      </c>
      <c r="BE40" s="13">
        <f t="shared" si="42"/>
        <v>17.518895688503417</v>
      </c>
      <c r="BF40" s="13">
        <f t="shared" si="43"/>
        <v>14.459896022772702</v>
      </c>
      <c r="BG40" s="14">
        <f t="shared" si="44"/>
        <v>10</v>
      </c>
      <c r="BH40" s="15">
        <f t="shared" si="45"/>
        <v>36</v>
      </c>
      <c r="BI40" s="13">
        <f t="shared" si="46"/>
        <v>27.454547130510335</v>
      </c>
      <c r="BJ40" s="13">
        <f t="shared" si="47"/>
        <v>23.358527584671222</v>
      </c>
      <c r="BK40" s="13">
        <f t="shared" si="48"/>
        <v>19.279861363696934</v>
      </c>
      <c r="BL40" s="15">
        <f t="shared" si="49"/>
        <v>12.5</v>
      </c>
      <c r="BM40" s="15">
        <f t="shared" si="50"/>
        <v>45</v>
      </c>
      <c r="BN40" s="13">
        <f t="shared" si="51"/>
        <v>34.31818391313792</v>
      </c>
      <c r="BO40" s="13">
        <f t="shared" si="52"/>
        <v>29.198159480839024</v>
      </c>
      <c r="BP40" s="52">
        <f t="shared" si="53"/>
        <v>24.09982670462117</v>
      </c>
    </row>
    <row r="41" spans="1:68" ht="12.75">
      <c r="A41" s="45"/>
      <c r="B41" s="6"/>
      <c r="C41" s="6"/>
      <c r="D41" s="6">
        <v>35</v>
      </c>
      <c r="E41" s="51">
        <f t="shared" si="0"/>
        <v>39.33815040144107</v>
      </c>
      <c r="F41" s="51">
        <f t="shared" si="1"/>
        <v>32.39807438402136</v>
      </c>
      <c r="G41" s="51">
        <f t="shared" si="2"/>
        <v>28.14667743465376</v>
      </c>
      <c r="H41" s="11">
        <f t="shared" si="3"/>
        <v>8.75</v>
      </c>
      <c r="I41" s="12">
        <f t="shared" si="4"/>
        <v>31.5</v>
      </c>
      <c r="J41" s="13">
        <f t="shared" si="5"/>
        <v>35.404335361296965</v>
      </c>
      <c r="K41" s="13">
        <f t="shared" si="6"/>
        <v>29.15826694561923</v>
      </c>
      <c r="L41" s="13">
        <f t="shared" si="7"/>
        <v>25.332009691188386</v>
      </c>
      <c r="M41" s="14">
        <f t="shared" si="8"/>
        <v>11.666666666666666</v>
      </c>
      <c r="N41" s="15">
        <f t="shared" si="9"/>
        <v>42</v>
      </c>
      <c r="O41" s="13">
        <f t="shared" si="10"/>
        <v>47.205780481729285</v>
      </c>
      <c r="P41" s="13">
        <f t="shared" si="11"/>
        <v>38.87768926082564</v>
      </c>
      <c r="Q41" s="13">
        <f t="shared" si="12"/>
        <v>33.77601292158452</v>
      </c>
      <c r="R41" s="15">
        <f t="shared" si="13"/>
        <v>14.583333333333332</v>
      </c>
      <c r="S41" s="15">
        <f t="shared" si="14"/>
        <v>52.5</v>
      </c>
      <c r="T41" s="13">
        <f t="shared" si="15"/>
        <v>59.007225602161604</v>
      </c>
      <c r="U41" s="13">
        <f t="shared" si="16"/>
        <v>48.59711157603205</v>
      </c>
      <c r="V41" s="52">
        <f t="shared" si="17"/>
        <v>42.220016151980644</v>
      </c>
      <c r="X41" s="45"/>
      <c r="Y41" s="6"/>
      <c r="Z41" s="6"/>
      <c r="AA41" s="6">
        <v>35</v>
      </c>
      <c r="AB41" s="51">
        <f t="shared" si="18"/>
        <v>41.639936720959035</v>
      </c>
      <c r="AC41" s="51">
        <f t="shared" si="19"/>
        <v>34.841109245664256</v>
      </c>
      <c r="AD41" s="51">
        <f t="shared" si="20"/>
        <v>26.807166537613412</v>
      </c>
      <c r="AE41" s="11">
        <f t="shared" si="21"/>
        <v>8.75</v>
      </c>
      <c r="AF41" s="12">
        <f t="shared" si="22"/>
        <v>31.5</v>
      </c>
      <c r="AG41" s="13">
        <f t="shared" si="23"/>
        <v>37.47594304886313</v>
      </c>
      <c r="AH41" s="13">
        <f t="shared" si="24"/>
        <v>31.35699832109783</v>
      </c>
      <c r="AI41" s="13">
        <f t="shared" si="25"/>
        <v>24.12644988385207</v>
      </c>
      <c r="AJ41" s="14">
        <f t="shared" si="26"/>
        <v>11.666666666666666</v>
      </c>
      <c r="AK41" s="15">
        <f t="shared" si="27"/>
        <v>42</v>
      </c>
      <c r="AL41" s="13">
        <f t="shared" si="28"/>
        <v>49.96792406515085</v>
      </c>
      <c r="AM41" s="13">
        <f t="shared" si="29"/>
        <v>41.8093310947971</v>
      </c>
      <c r="AN41" s="13">
        <f t="shared" si="30"/>
        <v>32.16859984513609</v>
      </c>
      <c r="AO41" s="15">
        <f t="shared" si="31"/>
        <v>14.583333333333332</v>
      </c>
      <c r="AP41" s="15">
        <f t="shared" si="32"/>
        <v>52.5</v>
      </c>
      <c r="AQ41" s="13">
        <f t="shared" si="33"/>
        <v>62.459905081438556</v>
      </c>
      <c r="AR41" s="13">
        <f t="shared" si="34"/>
        <v>52.261663868496385</v>
      </c>
      <c r="AS41" s="52">
        <f t="shared" si="35"/>
        <v>40.21074980642012</v>
      </c>
      <c r="AU41" s="45"/>
      <c r="AV41" s="6"/>
      <c r="AW41" s="6"/>
      <c r="AX41" s="6">
        <v>35</v>
      </c>
      <c r="AY41" s="51">
        <f t="shared" si="36"/>
        <v>25.25102335767864</v>
      </c>
      <c r="AZ41" s="51">
        <f t="shared" si="37"/>
        <v>21.483753595994934</v>
      </c>
      <c r="BA41" s="51">
        <f t="shared" si="38"/>
        <v>17.732444367530444</v>
      </c>
      <c r="BB41" s="11">
        <f t="shared" si="39"/>
        <v>8.75</v>
      </c>
      <c r="BC41" s="12">
        <f t="shared" si="40"/>
        <v>31.5</v>
      </c>
      <c r="BD41" s="13">
        <f t="shared" si="41"/>
        <v>22.72592102191078</v>
      </c>
      <c r="BE41" s="13">
        <f t="shared" si="42"/>
        <v>19.335378236395442</v>
      </c>
      <c r="BF41" s="13">
        <f t="shared" si="43"/>
        <v>15.9591999307774</v>
      </c>
      <c r="BG41" s="14">
        <f t="shared" si="44"/>
        <v>11.666666666666666</v>
      </c>
      <c r="BH41" s="15">
        <f t="shared" si="45"/>
        <v>42</v>
      </c>
      <c r="BI41" s="13">
        <f t="shared" si="46"/>
        <v>30.301228029214368</v>
      </c>
      <c r="BJ41" s="13">
        <f t="shared" si="47"/>
        <v>25.78050431519392</v>
      </c>
      <c r="BK41" s="13">
        <f t="shared" si="48"/>
        <v>21.278933241036533</v>
      </c>
      <c r="BL41" s="15">
        <f t="shared" si="49"/>
        <v>14.583333333333332</v>
      </c>
      <c r="BM41" s="15">
        <f t="shared" si="50"/>
        <v>52.5</v>
      </c>
      <c r="BN41" s="13">
        <f t="shared" si="51"/>
        <v>37.876535036517964</v>
      </c>
      <c r="BO41" s="13">
        <f t="shared" si="52"/>
        <v>32.2256303939924</v>
      </c>
      <c r="BP41" s="52">
        <f t="shared" si="53"/>
        <v>26.59866655129567</v>
      </c>
    </row>
    <row r="42" spans="1:68" ht="15">
      <c r="A42" s="46" t="s">
        <v>4</v>
      </c>
      <c r="B42" s="6"/>
      <c r="C42" s="6"/>
      <c r="D42" s="50">
        <v>40</v>
      </c>
      <c r="E42" s="51">
        <f t="shared" si="0"/>
        <v>42.44918399874559</v>
      </c>
      <c r="F42" s="51">
        <f t="shared" si="1"/>
        <v>34.96025630838985</v>
      </c>
      <c r="G42" s="51">
        <f t="shared" si="2"/>
        <v>30.372640227975456</v>
      </c>
      <c r="H42" s="11">
        <f t="shared" si="3"/>
        <v>10</v>
      </c>
      <c r="I42" s="12">
        <f t="shared" si="4"/>
        <v>36</v>
      </c>
      <c r="J42" s="13">
        <f t="shared" si="5"/>
        <v>38.20426559887103</v>
      </c>
      <c r="K42" s="13">
        <f t="shared" si="6"/>
        <v>31.464230677550866</v>
      </c>
      <c r="L42" s="13">
        <f t="shared" si="7"/>
        <v>27.335376205177912</v>
      </c>
      <c r="M42" s="14">
        <f t="shared" si="8"/>
        <v>13.333333333333332</v>
      </c>
      <c r="N42" s="15">
        <f t="shared" si="9"/>
        <v>48</v>
      </c>
      <c r="O42" s="13">
        <f t="shared" si="10"/>
        <v>50.9390207984947</v>
      </c>
      <c r="P42" s="13">
        <f t="shared" si="11"/>
        <v>41.95230757006782</v>
      </c>
      <c r="Q42" s="13">
        <f t="shared" si="12"/>
        <v>36.44716827357055</v>
      </c>
      <c r="R42" s="15">
        <f t="shared" si="13"/>
        <v>16.666666666666668</v>
      </c>
      <c r="S42" s="15">
        <f t="shared" si="14"/>
        <v>60</v>
      </c>
      <c r="T42" s="13">
        <f t="shared" si="15"/>
        <v>63.67377599811839</v>
      </c>
      <c r="U42" s="13">
        <f t="shared" si="16"/>
        <v>52.44038446258478</v>
      </c>
      <c r="V42" s="52">
        <f t="shared" si="17"/>
        <v>45.558960341963186</v>
      </c>
      <c r="X42" s="46" t="s">
        <v>4</v>
      </c>
      <c r="Y42" s="6"/>
      <c r="Z42" s="6"/>
      <c r="AA42" s="50">
        <v>40</v>
      </c>
      <c r="AB42" s="51">
        <f t="shared" si="18"/>
        <v>45.964665252027004</v>
      </c>
      <c r="AC42" s="51">
        <f t="shared" si="19"/>
        <v>38.45971078722083</v>
      </c>
      <c r="AD42" s="51">
        <f t="shared" si="20"/>
        <v>29.591361882078314</v>
      </c>
      <c r="AE42" s="11">
        <f t="shared" si="21"/>
        <v>10</v>
      </c>
      <c r="AF42" s="12">
        <f t="shared" si="22"/>
        <v>36</v>
      </c>
      <c r="AG42" s="13">
        <f t="shared" si="23"/>
        <v>41.3681987268243</v>
      </c>
      <c r="AH42" s="13">
        <f t="shared" si="24"/>
        <v>34.61373970849875</v>
      </c>
      <c r="AI42" s="13">
        <f t="shared" si="25"/>
        <v>26.63222569387048</v>
      </c>
      <c r="AJ42" s="14">
        <f t="shared" si="26"/>
        <v>13.333333333333332</v>
      </c>
      <c r="AK42" s="15">
        <f t="shared" si="27"/>
        <v>48</v>
      </c>
      <c r="AL42" s="13">
        <f t="shared" si="28"/>
        <v>55.157598302432405</v>
      </c>
      <c r="AM42" s="13">
        <f t="shared" si="29"/>
        <v>46.151652944664995</v>
      </c>
      <c r="AN42" s="13">
        <f t="shared" si="30"/>
        <v>35.509634258493975</v>
      </c>
      <c r="AO42" s="15">
        <f t="shared" si="31"/>
        <v>16.666666666666668</v>
      </c>
      <c r="AP42" s="15">
        <f t="shared" si="32"/>
        <v>60</v>
      </c>
      <c r="AQ42" s="13">
        <f t="shared" si="33"/>
        <v>68.9469978780405</v>
      </c>
      <c r="AR42" s="13">
        <f t="shared" si="34"/>
        <v>57.68956618083124</v>
      </c>
      <c r="AS42" s="52">
        <f t="shared" si="35"/>
        <v>44.387042823117476</v>
      </c>
      <c r="AU42" s="46" t="s">
        <v>4</v>
      </c>
      <c r="AV42" s="6"/>
      <c r="AW42" s="6"/>
      <c r="AX42" s="50">
        <v>40</v>
      </c>
      <c r="AY42" s="51">
        <f t="shared" si="36"/>
        <v>27.50387146190394</v>
      </c>
      <c r="AZ42" s="51">
        <f t="shared" si="37"/>
        <v>23.400493083135867</v>
      </c>
      <c r="BA42" s="51">
        <f t="shared" si="38"/>
        <v>19.31449920589499</v>
      </c>
      <c r="BB42" s="11">
        <f t="shared" si="39"/>
        <v>10</v>
      </c>
      <c r="BC42" s="12">
        <f t="shared" si="40"/>
        <v>36</v>
      </c>
      <c r="BD42" s="13">
        <f t="shared" si="41"/>
        <v>24.753484315713546</v>
      </c>
      <c r="BE42" s="13">
        <f t="shared" si="42"/>
        <v>21.060443774822282</v>
      </c>
      <c r="BF42" s="13">
        <f t="shared" si="43"/>
        <v>17.383049285305493</v>
      </c>
      <c r="BG42" s="14">
        <f t="shared" si="44"/>
        <v>13.333333333333332</v>
      </c>
      <c r="BH42" s="15">
        <f t="shared" si="45"/>
        <v>48</v>
      </c>
      <c r="BI42" s="13">
        <f t="shared" si="46"/>
        <v>33.00464575428473</v>
      </c>
      <c r="BJ42" s="13">
        <f t="shared" si="47"/>
        <v>28.08059169976304</v>
      </c>
      <c r="BK42" s="13">
        <f t="shared" si="48"/>
        <v>23.177399047073987</v>
      </c>
      <c r="BL42" s="15">
        <f t="shared" si="49"/>
        <v>16.666666666666668</v>
      </c>
      <c r="BM42" s="15">
        <f t="shared" si="50"/>
        <v>60</v>
      </c>
      <c r="BN42" s="13">
        <f t="shared" si="51"/>
        <v>41.25580719285591</v>
      </c>
      <c r="BO42" s="13">
        <f t="shared" si="52"/>
        <v>35.1007396247038</v>
      </c>
      <c r="BP42" s="52">
        <f t="shared" si="53"/>
        <v>28.971748808842484</v>
      </c>
    </row>
    <row r="43" spans="1:68" ht="12.75">
      <c r="A43" s="45" t="s">
        <v>0</v>
      </c>
      <c r="B43" s="6"/>
      <c r="C43" s="6"/>
      <c r="D43" s="6">
        <v>45</v>
      </c>
      <c r="E43" s="51">
        <f t="shared" si="0"/>
        <v>45.39690905553335</v>
      </c>
      <c r="F43" s="51">
        <f t="shared" si="1"/>
        <v>37.38794074903796</v>
      </c>
      <c r="G43" s="51">
        <f t="shared" si="2"/>
        <v>32.481754802320374</v>
      </c>
      <c r="H43" s="11">
        <f t="shared" si="3"/>
        <v>11.25</v>
      </c>
      <c r="I43" s="12">
        <f t="shared" si="4"/>
        <v>40.5</v>
      </c>
      <c r="J43" s="13">
        <f t="shared" si="5"/>
        <v>40.857218149980014</v>
      </c>
      <c r="K43" s="13">
        <f t="shared" si="6"/>
        <v>33.649146674134165</v>
      </c>
      <c r="L43" s="13">
        <f t="shared" si="7"/>
        <v>29.23357932208834</v>
      </c>
      <c r="M43" s="14">
        <f t="shared" si="8"/>
        <v>15</v>
      </c>
      <c r="N43" s="15">
        <f t="shared" si="9"/>
        <v>54</v>
      </c>
      <c r="O43" s="13">
        <f t="shared" si="10"/>
        <v>54.47629086664002</v>
      </c>
      <c r="P43" s="13">
        <f t="shared" si="11"/>
        <v>44.865528898845554</v>
      </c>
      <c r="Q43" s="13">
        <f t="shared" si="12"/>
        <v>38.97810576278445</v>
      </c>
      <c r="R43" s="15">
        <f t="shared" si="13"/>
        <v>18.75</v>
      </c>
      <c r="S43" s="15">
        <f t="shared" si="14"/>
        <v>67.5</v>
      </c>
      <c r="T43" s="13">
        <f t="shared" si="15"/>
        <v>68.09536358330003</v>
      </c>
      <c r="U43" s="13">
        <f t="shared" si="16"/>
        <v>56.081911123556935</v>
      </c>
      <c r="V43" s="52">
        <f t="shared" si="17"/>
        <v>48.722632203480565</v>
      </c>
      <c r="X43" s="45" t="s">
        <v>0</v>
      </c>
      <c r="Y43" s="6"/>
      <c r="Z43" s="6"/>
      <c r="AA43" s="6">
        <v>45</v>
      </c>
      <c r="AB43" s="51">
        <f t="shared" si="18"/>
        <v>50.150696417623216</v>
      </c>
      <c r="AC43" s="51">
        <f t="shared" si="19"/>
        <v>41.9622609981793</v>
      </c>
      <c r="AD43" s="51">
        <f t="shared" si="20"/>
        <v>32.28626594352697</v>
      </c>
      <c r="AE43" s="11">
        <f t="shared" si="21"/>
        <v>11.25</v>
      </c>
      <c r="AF43" s="12">
        <f t="shared" si="22"/>
        <v>40.5</v>
      </c>
      <c r="AG43" s="13">
        <f t="shared" si="23"/>
        <v>45.13562677586089</v>
      </c>
      <c r="AH43" s="13">
        <f t="shared" si="24"/>
        <v>37.766034898361376</v>
      </c>
      <c r="AI43" s="13">
        <f t="shared" si="25"/>
        <v>29.057639349174273</v>
      </c>
      <c r="AJ43" s="14">
        <f t="shared" si="26"/>
        <v>15</v>
      </c>
      <c r="AK43" s="15">
        <f t="shared" si="27"/>
        <v>54</v>
      </c>
      <c r="AL43" s="13">
        <f t="shared" si="28"/>
        <v>60.180835701147856</v>
      </c>
      <c r="AM43" s="13">
        <f t="shared" si="29"/>
        <v>50.354713197815165</v>
      </c>
      <c r="AN43" s="13">
        <f t="shared" si="30"/>
        <v>38.743519132232365</v>
      </c>
      <c r="AO43" s="15">
        <f t="shared" si="31"/>
        <v>18.75</v>
      </c>
      <c r="AP43" s="15">
        <f t="shared" si="32"/>
        <v>67.5</v>
      </c>
      <c r="AQ43" s="13">
        <f t="shared" si="33"/>
        <v>75.22604462643483</v>
      </c>
      <c r="AR43" s="13">
        <f t="shared" si="34"/>
        <v>62.943391497268955</v>
      </c>
      <c r="AS43" s="52">
        <f t="shared" si="35"/>
        <v>48.429398915290456</v>
      </c>
      <c r="AU43" s="45" t="s">
        <v>0</v>
      </c>
      <c r="AV43" s="6"/>
      <c r="AW43" s="6"/>
      <c r="AX43" s="6">
        <v>45</v>
      </c>
      <c r="AY43" s="51">
        <f t="shared" si="36"/>
        <v>29.657288645503534</v>
      </c>
      <c r="AZ43" s="51">
        <f t="shared" si="37"/>
        <v>25.232636022711688</v>
      </c>
      <c r="BA43" s="51">
        <f t="shared" si="38"/>
        <v>20.826729021984878</v>
      </c>
      <c r="BB43" s="11">
        <f t="shared" si="39"/>
        <v>11.25</v>
      </c>
      <c r="BC43" s="12">
        <f t="shared" si="40"/>
        <v>40.5</v>
      </c>
      <c r="BD43" s="13">
        <f t="shared" si="41"/>
        <v>26.69155978095318</v>
      </c>
      <c r="BE43" s="13">
        <f t="shared" si="42"/>
        <v>22.70937242044052</v>
      </c>
      <c r="BF43" s="13">
        <f t="shared" si="43"/>
        <v>18.74405611978639</v>
      </c>
      <c r="BG43" s="14">
        <f t="shared" si="44"/>
        <v>15</v>
      </c>
      <c r="BH43" s="15">
        <f t="shared" si="45"/>
        <v>54</v>
      </c>
      <c r="BI43" s="13">
        <f t="shared" si="46"/>
        <v>35.58874637460424</v>
      </c>
      <c r="BJ43" s="13">
        <f t="shared" si="47"/>
        <v>30.279163227254028</v>
      </c>
      <c r="BK43" s="13">
        <f t="shared" si="48"/>
        <v>24.992074826381852</v>
      </c>
      <c r="BL43" s="15">
        <f t="shared" si="49"/>
        <v>18.75</v>
      </c>
      <c r="BM43" s="15">
        <f t="shared" si="50"/>
        <v>67.5</v>
      </c>
      <c r="BN43" s="13">
        <f t="shared" si="51"/>
        <v>44.4859329682553</v>
      </c>
      <c r="BO43" s="13">
        <f t="shared" si="52"/>
        <v>37.84895403406753</v>
      </c>
      <c r="BP43" s="52">
        <f t="shared" si="53"/>
        <v>31.240093532977316</v>
      </c>
    </row>
    <row r="44" spans="1:68" ht="12.75">
      <c r="A44" s="45"/>
      <c r="B44" s="6"/>
      <c r="C44" s="6"/>
      <c r="D44" s="50">
        <v>50</v>
      </c>
      <c r="E44" s="51">
        <f t="shared" si="0"/>
        <v>48.20677224413598</v>
      </c>
      <c r="F44" s="51">
        <f t="shared" si="1"/>
        <v>39.702085050797926</v>
      </c>
      <c r="G44" s="51">
        <f t="shared" si="2"/>
        <v>34.4922284010539</v>
      </c>
      <c r="H44" s="11">
        <f t="shared" si="3"/>
        <v>12.5</v>
      </c>
      <c r="I44" s="12">
        <f t="shared" si="4"/>
        <v>45</v>
      </c>
      <c r="J44" s="13">
        <f t="shared" si="5"/>
        <v>43.38609501972238</v>
      </c>
      <c r="K44" s="13">
        <f t="shared" si="6"/>
        <v>35.73187654571814</v>
      </c>
      <c r="L44" s="13">
        <f t="shared" si="7"/>
        <v>31.04300556094851</v>
      </c>
      <c r="M44" s="14">
        <f t="shared" si="8"/>
        <v>16.666666666666668</v>
      </c>
      <c r="N44" s="15">
        <f t="shared" si="9"/>
        <v>60</v>
      </c>
      <c r="O44" s="13">
        <f t="shared" si="10"/>
        <v>57.848126692963184</v>
      </c>
      <c r="P44" s="13">
        <f t="shared" si="11"/>
        <v>47.64250206095751</v>
      </c>
      <c r="Q44" s="13">
        <f t="shared" si="12"/>
        <v>41.390674081264685</v>
      </c>
      <c r="R44" s="15">
        <f t="shared" si="13"/>
        <v>20.833333333333332</v>
      </c>
      <c r="S44" s="15">
        <f t="shared" si="14"/>
        <v>75</v>
      </c>
      <c r="T44" s="13">
        <f t="shared" si="15"/>
        <v>72.31015836620398</v>
      </c>
      <c r="U44" s="13">
        <f t="shared" si="16"/>
        <v>59.553127576196886</v>
      </c>
      <c r="V44" s="52">
        <f t="shared" si="17"/>
        <v>51.738342601580854</v>
      </c>
      <c r="X44" s="45"/>
      <c r="Y44" s="6"/>
      <c r="Z44" s="6"/>
      <c r="AA44" s="50">
        <v>50</v>
      </c>
      <c r="AB44" s="51">
        <f t="shared" si="18"/>
        <v>54.21725320414335</v>
      </c>
      <c r="AC44" s="51">
        <f t="shared" si="19"/>
        <v>45.36484420099024</v>
      </c>
      <c r="AD44" s="51">
        <f t="shared" si="20"/>
        <v>34.90425419219875</v>
      </c>
      <c r="AE44" s="11">
        <f t="shared" si="21"/>
        <v>12.5</v>
      </c>
      <c r="AF44" s="12">
        <f t="shared" si="22"/>
        <v>45</v>
      </c>
      <c r="AG44" s="13">
        <f t="shared" si="23"/>
        <v>48.795527883729015</v>
      </c>
      <c r="AH44" s="13">
        <f t="shared" si="24"/>
        <v>40.82835978089122</v>
      </c>
      <c r="AI44" s="13">
        <f t="shared" si="25"/>
        <v>31.413828772978874</v>
      </c>
      <c r="AJ44" s="14">
        <f t="shared" si="26"/>
        <v>16.666666666666668</v>
      </c>
      <c r="AK44" s="15">
        <f t="shared" si="27"/>
        <v>60</v>
      </c>
      <c r="AL44" s="13">
        <f t="shared" si="28"/>
        <v>65.06070384497201</v>
      </c>
      <c r="AM44" s="13">
        <f t="shared" si="29"/>
        <v>54.437813041188285</v>
      </c>
      <c r="AN44" s="13">
        <f t="shared" si="30"/>
        <v>41.8851050306385</v>
      </c>
      <c r="AO44" s="15">
        <f t="shared" si="31"/>
        <v>20.833333333333332</v>
      </c>
      <c r="AP44" s="15">
        <f t="shared" si="32"/>
        <v>75</v>
      </c>
      <c r="AQ44" s="13">
        <f t="shared" si="33"/>
        <v>81.32587980621501</v>
      </c>
      <c r="AR44" s="13">
        <f t="shared" si="34"/>
        <v>68.04726630148537</v>
      </c>
      <c r="AS44" s="52">
        <f t="shared" si="35"/>
        <v>52.356381288298124</v>
      </c>
      <c r="AU44" s="45"/>
      <c r="AV44" s="6"/>
      <c r="AW44" s="6"/>
      <c r="AX44" s="50">
        <v>50</v>
      </c>
      <c r="AY44" s="51">
        <f t="shared" si="36"/>
        <v>31.72606707047169</v>
      </c>
      <c r="AZ44" s="51">
        <f t="shared" si="37"/>
        <v>26.992767693304394</v>
      </c>
      <c r="BA44" s="51">
        <f t="shared" si="38"/>
        <v>22.27952156072132</v>
      </c>
      <c r="BB44" s="11">
        <f t="shared" si="39"/>
        <v>12.5</v>
      </c>
      <c r="BC44" s="12">
        <f t="shared" si="40"/>
        <v>45</v>
      </c>
      <c r="BD44" s="13">
        <f t="shared" si="41"/>
        <v>28.55346036342452</v>
      </c>
      <c r="BE44" s="13">
        <f t="shared" si="42"/>
        <v>24.293490923973955</v>
      </c>
      <c r="BF44" s="13">
        <f t="shared" si="43"/>
        <v>20.05156940464919</v>
      </c>
      <c r="BG44" s="14">
        <f t="shared" si="44"/>
        <v>16.666666666666668</v>
      </c>
      <c r="BH44" s="15">
        <f t="shared" si="45"/>
        <v>60</v>
      </c>
      <c r="BI44" s="13">
        <f t="shared" si="46"/>
        <v>38.07128048456603</v>
      </c>
      <c r="BJ44" s="13">
        <f t="shared" si="47"/>
        <v>32.39132123196527</v>
      </c>
      <c r="BK44" s="13">
        <f t="shared" si="48"/>
        <v>26.735425872865584</v>
      </c>
      <c r="BL44" s="15">
        <f t="shared" si="49"/>
        <v>20.833333333333332</v>
      </c>
      <c r="BM44" s="15">
        <f t="shared" si="50"/>
        <v>75</v>
      </c>
      <c r="BN44" s="13">
        <f t="shared" si="51"/>
        <v>47.589100605707536</v>
      </c>
      <c r="BO44" s="13">
        <f t="shared" si="52"/>
        <v>40.48915153995659</v>
      </c>
      <c r="BP44" s="52">
        <f t="shared" si="53"/>
        <v>33.41928234108198</v>
      </c>
    </row>
    <row r="45" spans="1:68" ht="12.75">
      <c r="A45" s="45" t="s">
        <v>1</v>
      </c>
      <c r="B45" s="6">
        <f>+D15</f>
        <v>4.26973</v>
      </c>
      <c r="C45" s="6"/>
      <c r="D45" s="6">
        <v>55</v>
      </c>
      <c r="E45" s="51">
        <f t="shared" si="0"/>
        <v>50.898136743367374</v>
      </c>
      <c r="F45" s="51">
        <f t="shared" si="1"/>
        <v>41.91863632102284</v>
      </c>
      <c r="G45" s="51">
        <f t="shared" si="2"/>
        <v>36.41791549223369</v>
      </c>
      <c r="H45" s="11">
        <f t="shared" si="3"/>
        <v>13.75</v>
      </c>
      <c r="I45" s="12">
        <f t="shared" si="4"/>
        <v>49.5</v>
      </c>
      <c r="J45" s="13">
        <f t="shared" si="5"/>
        <v>45.808323069030635</v>
      </c>
      <c r="K45" s="13">
        <f t="shared" si="6"/>
        <v>37.726772688920555</v>
      </c>
      <c r="L45" s="13">
        <f t="shared" si="7"/>
        <v>32.77612394301032</v>
      </c>
      <c r="M45" s="14">
        <f t="shared" si="8"/>
        <v>18.333333333333332</v>
      </c>
      <c r="N45" s="15">
        <f t="shared" si="9"/>
        <v>66</v>
      </c>
      <c r="O45" s="13">
        <f t="shared" si="10"/>
        <v>61.07776409204085</v>
      </c>
      <c r="P45" s="13">
        <f t="shared" si="11"/>
        <v>50.302363585227404</v>
      </c>
      <c r="Q45" s="13">
        <f t="shared" si="12"/>
        <v>43.70149859068043</v>
      </c>
      <c r="R45" s="15">
        <f t="shared" si="13"/>
        <v>22.916666666666668</v>
      </c>
      <c r="S45" s="15">
        <f t="shared" si="14"/>
        <v>82.5</v>
      </c>
      <c r="T45" s="13">
        <f t="shared" si="15"/>
        <v>76.34720511505107</v>
      </c>
      <c r="U45" s="13">
        <f t="shared" si="16"/>
        <v>62.87795448153426</v>
      </c>
      <c r="V45" s="52">
        <f t="shared" si="17"/>
        <v>54.626873238350534</v>
      </c>
      <c r="X45" s="45" t="s">
        <v>1</v>
      </c>
      <c r="Y45" s="6">
        <f>+K15</f>
        <v>2.50889</v>
      </c>
      <c r="Z45" s="6"/>
      <c r="AA45" s="6">
        <v>55</v>
      </c>
      <c r="AB45" s="51">
        <f t="shared" si="18"/>
        <v>58.17924730570642</v>
      </c>
      <c r="AC45" s="51">
        <f t="shared" si="19"/>
        <v>48.679937358991005</v>
      </c>
      <c r="AD45" s="51">
        <f t="shared" si="20"/>
        <v>37.45492655304755</v>
      </c>
      <c r="AE45" s="11">
        <f t="shared" si="21"/>
        <v>13.75</v>
      </c>
      <c r="AF45" s="12">
        <f t="shared" si="22"/>
        <v>49.5</v>
      </c>
      <c r="AG45" s="13">
        <f t="shared" si="23"/>
        <v>52.36132257513578</v>
      </c>
      <c r="AH45" s="13">
        <f t="shared" si="24"/>
        <v>43.811943623091906</v>
      </c>
      <c r="AI45" s="13">
        <f t="shared" si="25"/>
        <v>33.7094338977428</v>
      </c>
      <c r="AJ45" s="14">
        <f t="shared" si="26"/>
        <v>18.333333333333332</v>
      </c>
      <c r="AK45" s="15">
        <f t="shared" si="27"/>
        <v>66</v>
      </c>
      <c r="AL45" s="13">
        <f t="shared" si="28"/>
        <v>69.81509676684769</v>
      </c>
      <c r="AM45" s="13">
        <f t="shared" si="29"/>
        <v>58.4159248307892</v>
      </c>
      <c r="AN45" s="13">
        <f t="shared" si="30"/>
        <v>44.94591186365706</v>
      </c>
      <c r="AO45" s="15">
        <f t="shared" si="31"/>
        <v>22.916666666666668</v>
      </c>
      <c r="AP45" s="15">
        <f t="shared" si="32"/>
        <v>82.5</v>
      </c>
      <c r="AQ45" s="13">
        <f t="shared" si="33"/>
        <v>87.26887095855962</v>
      </c>
      <c r="AR45" s="13">
        <f t="shared" si="34"/>
        <v>73.0199060384865</v>
      </c>
      <c r="AS45" s="52">
        <f t="shared" si="35"/>
        <v>56.18238982957132</v>
      </c>
      <c r="AU45" s="45" t="s">
        <v>1</v>
      </c>
      <c r="AV45" s="6">
        <f>+R15</f>
        <v>2.20753</v>
      </c>
      <c r="AW45" s="6"/>
      <c r="AX45" s="6">
        <v>55</v>
      </c>
      <c r="AY45" s="51">
        <f t="shared" si="36"/>
        <v>33.72155216661365</v>
      </c>
      <c r="AZ45" s="51">
        <f t="shared" si="37"/>
        <v>28.69054086878076</v>
      </c>
      <c r="BA45" s="51">
        <f t="shared" si="38"/>
        <v>23.680844111191856</v>
      </c>
      <c r="BB45" s="11">
        <f t="shared" si="39"/>
        <v>13.75</v>
      </c>
      <c r="BC45" s="12">
        <f t="shared" si="40"/>
        <v>49.5</v>
      </c>
      <c r="BD45" s="13">
        <f t="shared" si="41"/>
        <v>30.349396949952283</v>
      </c>
      <c r="BE45" s="13">
        <f t="shared" si="42"/>
        <v>25.821486781902685</v>
      </c>
      <c r="BF45" s="13">
        <f t="shared" si="43"/>
        <v>21.31275970007267</v>
      </c>
      <c r="BG45" s="14">
        <f t="shared" si="44"/>
        <v>18.333333333333332</v>
      </c>
      <c r="BH45" s="15">
        <f t="shared" si="45"/>
        <v>66</v>
      </c>
      <c r="BI45" s="13">
        <f t="shared" si="46"/>
        <v>40.46586259993638</v>
      </c>
      <c r="BJ45" s="13">
        <f t="shared" si="47"/>
        <v>34.42864904253691</v>
      </c>
      <c r="BK45" s="13">
        <f t="shared" si="48"/>
        <v>28.41701293343023</v>
      </c>
      <c r="BL45" s="15">
        <f t="shared" si="49"/>
        <v>22.916666666666668</v>
      </c>
      <c r="BM45" s="15">
        <f t="shared" si="50"/>
        <v>82.5</v>
      </c>
      <c r="BN45" s="13">
        <f t="shared" si="51"/>
        <v>50.58232824992047</v>
      </c>
      <c r="BO45" s="13">
        <f t="shared" si="52"/>
        <v>43.03581130317114</v>
      </c>
      <c r="BP45" s="52">
        <f t="shared" si="53"/>
        <v>35.52126616678778</v>
      </c>
    </row>
    <row r="46" spans="1:68" ht="12.75">
      <c r="A46" s="45" t="s">
        <v>2</v>
      </c>
      <c r="B46" s="6">
        <f>+D16</f>
        <v>0.57</v>
      </c>
      <c r="C46" s="6"/>
      <c r="D46" s="50">
        <v>60</v>
      </c>
      <c r="E46" s="51">
        <f t="shared" si="0"/>
        <v>53.48615319137948</v>
      </c>
      <c r="F46" s="51">
        <f t="shared" si="1"/>
        <v>44.050072307059835</v>
      </c>
      <c r="G46" s="51">
        <f t="shared" si="2"/>
        <v>38.269656446356095</v>
      </c>
      <c r="H46" s="11">
        <f t="shared" si="3"/>
        <v>15</v>
      </c>
      <c r="I46" s="12">
        <f t="shared" si="4"/>
        <v>54</v>
      </c>
      <c r="J46" s="13">
        <f t="shared" si="5"/>
        <v>48.13753787224153</v>
      </c>
      <c r="K46" s="13">
        <f t="shared" si="6"/>
        <v>39.64506507635385</v>
      </c>
      <c r="L46" s="13">
        <f t="shared" si="7"/>
        <v>34.44269080172049</v>
      </c>
      <c r="M46" s="14">
        <f t="shared" si="8"/>
        <v>20</v>
      </c>
      <c r="N46" s="15">
        <f t="shared" si="9"/>
        <v>72</v>
      </c>
      <c r="O46" s="13">
        <f t="shared" si="10"/>
        <v>64.18338382965537</v>
      </c>
      <c r="P46" s="13">
        <f t="shared" si="11"/>
        <v>52.8600867684718</v>
      </c>
      <c r="Q46" s="13">
        <f t="shared" si="12"/>
        <v>45.923587735627315</v>
      </c>
      <c r="R46" s="15">
        <f t="shared" si="13"/>
        <v>25</v>
      </c>
      <c r="S46" s="15">
        <f t="shared" si="14"/>
        <v>90</v>
      </c>
      <c r="T46" s="13">
        <f t="shared" si="15"/>
        <v>80.22922978706922</v>
      </c>
      <c r="U46" s="13">
        <f t="shared" si="16"/>
        <v>66.07510846058975</v>
      </c>
      <c r="V46" s="52">
        <f t="shared" si="17"/>
        <v>57.40448466953414</v>
      </c>
      <c r="X46" s="45" t="s">
        <v>2</v>
      </c>
      <c r="Y46" s="6">
        <f>+K16</f>
        <v>0.74</v>
      </c>
      <c r="Z46" s="6"/>
      <c r="AA46" s="50">
        <v>60</v>
      </c>
      <c r="AB46" s="51">
        <f t="shared" si="18"/>
        <v>62.048549472095026</v>
      </c>
      <c r="AC46" s="51">
        <f t="shared" si="19"/>
        <v>51.91747300624801</v>
      </c>
      <c r="AD46" s="51">
        <f t="shared" si="20"/>
        <v>39.945925236686726</v>
      </c>
      <c r="AE46" s="11">
        <f t="shared" si="21"/>
        <v>15</v>
      </c>
      <c r="AF46" s="12">
        <f t="shared" si="22"/>
        <v>54</v>
      </c>
      <c r="AG46" s="13">
        <f t="shared" si="23"/>
        <v>55.84369452488552</v>
      </c>
      <c r="AH46" s="13">
        <f t="shared" si="24"/>
        <v>46.72572570562321</v>
      </c>
      <c r="AI46" s="13">
        <f t="shared" si="25"/>
        <v>35.951332713018054</v>
      </c>
      <c r="AJ46" s="14">
        <f t="shared" si="26"/>
        <v>20</v>
      </c>
      <c r="AK46" s="15">
        <f t="shared" si="27"/>
        <v>72</v>
      </c>
      <c r="AL46" s="13">
        <f t="shared" si="28"/>
        <v>74.45825936651403</v>
      </c>
      <c r="AM46" s="13">
        <f t="shared" si="29"/>
        <v>62.30096760749761</v>
      </c>
      <c r="AN46" s="13">
        <f t="shared" si="30"/>
        <v>47.93511028402407</v>
      </c>
      <c r="AO46" s="15">
        <f t="shared" si="31"/>
        <v>25</v>
      </c>
      <c r="AP46" s="15">
        <f t="shared" si="32"/>
        <v>90</v>
      </c>
      <c r="AQ46" s="13">
        <f t="shared" si="33"/>
        <v>93.07282420814253</v>
      </c>
      <c r="AR46" s="13">
        <f t="shared" si="34"/>
        <v>77.87620950937202</v>
      </c>
      <c r="AS46" s="52">
        <f t="shared" si="35"/>
        <v>59.918887855030086</v>
      </c>
      <c r="AU46" s="45" t="s">
        <v>2</v>
      </c>
      <c r="AV46" s="6">
        <f>+R16</f>
        <v>0.64</v>
      </c>
      <c r="AW46" s="6"/>
      <c r="AX46" s="50">
        <v>60</v>
      </c>
      <c r="AY46" s="51">
        <f t="shared" si="36"/>
        <v>35.65268445785578</v>
      </c>
      <c r="AZ46" s="51">
        <f t="shared" si="37"/>
        <v>30.333562211664237</v>
      </c>
      <c r="BA46" s="51">
        <f t="shared" si="38"/>
        <v>25.03697512559605</v>
      </c>
      <c r="BB46" s="11">
        <f t="shared" si="39"/>
        <v>15</v>
      </c>
      <c r="BC46" s="12">
        <f t="shared" si="40"/>
        <v>54</v>
      </c>
      <c r="BD46" s="13">
        <f t="shared" si="41"/>
        <v>32.0874160120702</v>
      </c>
      <c r="BE46" s="13">
        <f t="shared" si="42"/>
        <v>27.300205990497815</v>
      </c>
      <c r="BF46" s="13">
        <f t="shared" si="43"/>
        <v>22.533277613036446</v>
      </c>
      <c r="BG46" s="14">
        <f t="shared" si="44"/>
        <v>20</v>
      </c>
      <c r="BH46" s="15">
        <f t="shared" si="45"/>
        <v>72</v>
      </c>
      <c r="BI46" s="13">
        <f t="shared" si="46"/>
        <v>42.78322134942693</v>
      </c>
      <c r="BJ46" s="13">
        <f t="shared" si="47"/>
        <v>36.40027465399708</v>
      </c>
      <c r="BK46" s="13">
        <f t="shared" si="48"/>
        <v>30.044370150715263</v>
      </c>
      <c r="BL46" s="15">
        <f t="shared" si="49"/>
        <v>25</v>
      </c>
      <c r="BM46" s="15">
        <f t="shared" si="50"/>
        <v>90</v>
      </c>
      <c r="BN46" s="13">
        <f t="shared" si="51"/>
        <v>53.47902668678367</v>
      </c>
      <c r="BO46" s="13">
        <f t="shared" si="52"/>
        <v>45.50034331749636</v>
      </c>
      <c r="BP46" s="52">
        <f t="shared" si="53"/>
        <v>37.55546268839407</v>
      </c>
    </row>
    <row r="47" spans="1:68" ht="12.75">
      <c r="A47" s="45"/>
      <c r="B47" s="6"/>
      <c r="C47" s="6"/>
      <c r="D47" s="6">
        <v>65</v>
      </c>
      <c r="E47" s="51">
        <f t="shared" si="0"/>
        <v>55.98294803124777</v>
      </c>
      <c r="F47" s="51">
        <f t="shared" si="1"/>
        <v>46.10638009271338</v>
      </c>
      <c r="G47" s="51">
        <f t="shared" si="2"/>
        <v>40.056127804595306</v>
      </c>
      <c r="H47" s="11">
        <f t="shared" si="3"/>
        <v>16.25</v>
      </c>
      <c r="I47" s="12">
        <f t="shared" si="4"/>
        <v>58.5</v>
      </c>
      <c r="J47" s="13">
        <f t="shared" si="5"/>
        <v>50.384653228123</v>
      </c>
      <c r="K47" s="13">
        <f t="shared" si="6"/>
        <v>41.495742083442046</v>
      </c>
      <c r="L47" s="13">
        <f t="shared" si="7"/>
        <v>36.05051502413578</v>
      </c>
      <c r="M47" s="14">
        <f t="shared" si="8"/>
        <v>21.666666666666668</v>
      </c>
      <c r="N47" s="15">
        <f t="shared" si="9"/>
        <v>78</v>
      </c>
      <c r="O47" s="13">
        <f t="shared" si="10"/>
        <v>67.17953763749733</v>
      </c>
      <c r="P47" s="13">
        <f t="shared" si="11"/>
        <v>55.32765611125606</v>
      </c>
      <c r="Q47" s="13">
        <f t="shared" si="12"/>
        <v>48.06735336551437</v>
      </c>
      <c r="R47" s="15">
        <f t="shared" si="13"/>
        <v>27.083333333333332</v>
      </c>
      <c r="S47" s="15">
        <f t="shared" si="14"/>
        <v>97.5</v>
      </c>
      <c r="T47" s="13">
        <f t="shared" si="15"/>
        <v>83.97442204687165</v>
      </c>
      <c r="U47" s="13">
        <f t="shared" si="16"/>
        <v>69.15957013907007</v>
      </c>
      <c r="V47" s="52">
        <f t="shared" si="17"/>
        <v>60.08419170689296</v>
      </c>
      <c r="X47" s="45"/>
      <c r="Y47" s="6"/>
      <c r="Z47" s="6"/>
      <c r="AA47" s="6">
        <v>65</v>
      </c>
      <c r="AB47" s="51">
        <f t="shared" si="18"/>
        <v>65.83481082263167</v>
      </c>
      <c r="AC47" s="51">
        <f t="shared" si="19"/>
        <v>55.085526460092105</v>
      </c>
      <c r="AD47" s="51">
        <f t="shared" si="20"/>
        <v>42.38346348894052</v>
      </c>
      <c r="AE47" s="11">
        <f t="shared" si="21"/>
        <v>16.25</v>
      </c>
      <c r="AF47" s="12">
        <f t="shared" si="22"/>
        <v>58.5</v>
      </c>
      <c r="AG47" s="13">
        <f t="shared" si="23"/>
        <v>59.251329740368504</v>
      </c>
      <c r="AH47" s="13">
        <f t="shared" si="24"/>
        <v>49.5769738140829</v>
      </c>
      <c r="AI47" s="13">
        <f t="shared" si="25"/>
        <v>38.14511714004647</v>
      </c>
      <c r="AJ47" s="14">
        <f t="shared" si="26"/>
        <v>21.666666666666668</v>
      </c>
      <c r="AK47" s="15">
        <f t="shared" si="27"/>
        <v>78</v>
      </c>
      <c r="AL47" s="13">
        <f t="shared" si="28"/>
        <v>79.00177298715799</v>
      </c>
      <c r="AM47" s="13">
        <f t="shared" si="29"/>
        <v>66.10263175211053</v>
      </c>
      <c r="AN47" s="13">
        <f t="shared" si="30"/>
        <v>50.860156186728624</v>
      </c>
      <c r="AO47" s="15">
        <f t="shared" si="31"/>
        <v>27.083333333333332</v>
      </c>
      <c r="AP47" s="15">
        <f t="shared" si="32"/>
        <v>97.5</v>
      </c>
      <c r="AQ47" s="13">
        <f t="shared" si="33"/>
        <v>98.75221623394751</v>
      </c>
      <c r="AR47" s="13">
        <f t="shared" si="34"/>
        <v>82.62828969013816</v>
      </c>
      <c r="AS47" s="52">
        <f t="shared" si="35"/>
        <v>63.57519523341078</v>
      </c>
      <c r="AU47" s="45"/>
      <c r="AV47" s="6"/>
      <c r="AW47" s="6"/>
      <c r="AX47" s="6">
        <v>65</v>
      </c>
      <c r="AY47" s="51">
        <f t="shared" si="36"/>
        <v>37.526666138639385</v>
      </c>
      <c r="AZ47" s="51">
        <f t="shared" si="37"/>
        <v>31.92795940115955</v>
      </c>
      <c r="BA47" s="51">
        <f t="shared" si="38"/>
        <v>26.352972320227032</v>
      </c>
      <c r="BB47" s="11">
        <f t="shared" si="39"/>
        <v>16.25</v>
      </c>
      <c r="BC47" s="12">
        <f t="shared" si="40"/>
        <v>58.5</v>
      </c>
      <c r="BD47" s="13">
        <f t="shared" si="41"/>
        <v>33.77399952477545</v>
      </c>
      <c r="BE47" s="13">
        <f t="shared" si="42"/>
        <v>28.735163461043598</v>
      </c>
      <c r="BF47" s="13">
        <f t="shared" si="43"/>
        <v>23.71767508820433</v>
      </c>
      <c r="BG47" s="14">
        <f t="shared" si="44"/>
        <v>21.666666666666668</v>
      </c>
      <c r="BH47" s="15">
        <f t="shared" si="45"/>
        <v>78</v>
      </c>
      <c r="BI47" s="13">
        <f t="shared" si="46"/>
        <v>45.031999366367266</v>
      </c>
      <c r="BJ47" s="13">
        <f t="shared" si="47"/>
        <v>38.31355128139146</v>
      </c>
      <c r="BK47" s="13">
        <f t="shared" si="48"/>
        <v>31.62356678427244</v>
      </c>
      <c r="BL47" s="15">
        <f t="shared" si="49"/>
        <v>27.083333333333332</v>
      </c>
      <c r="BM47" s="15">
        <f t="shared" si="50"/>
        <v>97.5</v>
      </c>
      <c r="BN47" s="13">
        <f t="shared" si="51"/>
        <v>56.28999920795907</v>
      </c>
      <c r="BO47" s="13">
        <f t="shared" si="52"/>
        <v>47.891939101739325</v>
      </c>
      <c r="BP47" s="52">
        <f t="shared" si="53"/>
        <v>39.529458480340544</v>
      </c>
    </row>
    <row r="48" spans="1:68" ht="12.75">
      <c r="A48" s="45"/>
      <c r="B48" s="6"/>
      <c r="C48" s="6"/>
      <c r="D48" s="50">
        <v>70</v>
      </c>
      <c r="E48" s="51">
        <f t="shared" si="0"/>
        <v>58.39841149588987</v>
      </c>
      <c r="F48" s="51">
        <f t="shared" si="1"/>
        <v>48.09570506607293</v>
      </c>
      <c r="G48" s="51">
        <f t="shared" si="2"/>
        <v>41.78440608663629</v>
      </c>
      <c r="H48" s="11">
        <f t="shared" si="3"/>
        <v>17.5</v>
      </c>
      <c r="I48" s="12">
        <f t="shared" si="4"/>
        <v>63</v>
      </c>
      <c r="J48" s="13">
        <f t="shared" si="5"/>
        <v>52.55857034630088</v>
      </c>
      <c r="K48" s="13">
        <f t="shared" si="6"/>
        <v>43.28613455946564</v>
      </c>
      <c r="L48" s="13">
        <f t="shared" si="7"/>
        <v>37.60596547797266</v>
      </c>
      <c r="M48" s="14">
        <f t="shared" si="8"/>
        <v>23.333333333333332</v>
      </c>
      <c r="N48" s="15">
        <f t="shared" si="9"/>
        <v>84</v>
      </c>
      <c r="O48" s="13">
        <f t="shared" si="10"/>
        <v>70.07809379506783</v>
      </c>
      <c r="P48" s="13">
        <f t="shared" si="11"/>
        <v>57.71484607928752</v>
      </c>
      <c r="Q48" s="13">
        <f t="shared" si="12"/>
        <v>50.141287303963544</v>
      </c>
      <c r="R48" s="15">
        <f t="shared" si="13"/>
        <v>29.166666666666664</v>
      </c>
      <c r="S48" s="15">
        <f t="shared" si="14"/>
        <v>105</v>
      </c>
      <c r="T48" s="13">
        <f t="shared" si="15"/>
        <v>87.5976172438348</v>
      </c>
      <c r="U48" s="13">
        <f t="shared" si="16"/>
        <v>72.1435575991094</v>
      </c>
      <c r="V48" s="52">
        <f t="shared" si="17"/>
        <v>62.676609129954436</v>
      </c>
      <c r="X48" s="45"/>
      <c r="Y48" s="6"/>
      <c r="Z48" s="6"/>
      <c r="AA48" s="50">
        <v>70</v>
      </c>
      <c r="AB48" s="51">
        <f t="shared" si="18"/>
        <v>69.54601624286929</v>
      </c>
      <c r="AC48" s="51">
        <f t="shared" si="19"/>
        <v>58.190778861076595</v>
      </c>
      <c r="AD48" s="51">
        <f t="shared" si="20"/>
        <v>44.77268185933079</v>
      </c>
      <c r="AE48" s="11">
        <f t="shared" si="21"/>
        <v>17.5</v>
      </c>
      <c r="AF48" s="12">
        <f t="shared" si="22"/>
        <v>63</v>
      </c>
      <c r="AG48" s="13">
        <f t="shared" si="23"/>
        <v>62.591414618582355</v>
      </c>
      <c r="AH48" s="13">
        <f t="shared" si="24"/>
        <v>52.37170097496894</v>
      </c>
      <c r="AI48" s="13">
        <f t="shared" si="25"/>
        <v>40.29541367339771</v>
      </c>
      <c r="AJ48" s="14">
        <f t="shared" si="26"/>
        <v>23.333333333333332</v>
      </c>
      <c r="AK48" s="15">
        <f t="shared" si="27"/>
        <v>84</v>
      </c>
      <c r="AL48" s="13">
        <f t="shared" si="28"/>
        <v>83.45521949144315</v>
      </c>
      <c r="AM48" s="13">
        <f t="shared" si="29"/>
        <v>69.82893463329191</v>
      </c>
      <c r="AN48" s="13">
        <f t="shared" si="30"/>
        <v>53.72721823119694</v>
      </c>
      <c r="AO48" s="15">
        <f t="shared" si="31"/>
        <v>29.166666666666664</v>
      </c>
      <c r="AP48" s="15">
        <f t="shared" si="32"/>
        <v>105</v>
      </c>
      <c r="AQ48" s="13">
        <f t="shared" si="33"/>
        <v>104.31902436430393</v>
      </c>
      <c r="AR48" s="13">
        <f t="shared" si="34"/>
        <v>87.28616829161489</v>
      </c>
      <c r="AS48" s="52">
        <f t="shared" si="35"/>
        <v>67.15902278899618</v>
      </c>
      <c r="AU48" s="45"/>
      <c r="AV48" s="6"/>
      <c r="AW48" s="6"/>
      <c r="AX48" s="50">
        <v>70</v>
      </c>
      <c r="AY48" s="51">
        <f t="shared" si="36"/>
        <v>39.349406000966304</v>
      </c>
      <c r="AZ48" s="51">
        <f t="shared" si="37"/>
        <v>33.478759680306304</v>
      </c>
      <c r="BA48" s="51">
        <f t="shared" si="38"/>
        <v>27.632985123960133</v>
      </c>
      <c r="BB48" s="11">
        <f t="shared" si="39"/>
        <v>17.5</v>
      </c>
      <c r="BC48" s="12">
        <f t="shared" si="40"/>
        <v>63</v>
      </c>
      <c r="BD48" s="13">
        <f t="shared" si="41"/>
        <v>35.41446540086967</v>
      </c>
      <c r="BE48" s="13">
        <f t="shared" si="42"/>
        <v>30.130883712275676</v>
      </c>
      <c r="BF48" s="13">
        <f t="shared" si="43"/>
        <v>24.86968661156412</v>
      </c>
      <c r="BG48" s="14">
        <f t="shared" si="44"/>
        <v>23.333333333333332</v>
      </c>
      <c r="BH48" s="15">
        <f t="shared" si="45"/>
        <v>84</v>
      </c>
      <c r="BI48" s="13">
        <f t="shared" si="46"/>
        <v>47.21928720115957</v>
      </c>
      <c r="BJ48" s="13">
        <f t="shared" si="47"/>
        <v>40.17451161636756</v>
      </c>
      <c r="BK48" s="13">
        <f t="shared" si="48"/>
        <v>33.15958214875216</v>
      </c>
      <c r="BL48" s="15">
        <f t="shared" si="49"/>
        <v>29.166666666666664</v>
      </c>
      <c r="BM48" s="15">
        <f t="shared" si="50"/>
        <v>105</v>
      </c>
      <c r="BN48" s="13">
        <f t="shared" si="51"/>
        <v>59.02410900144945</v>
      </c>
      <c r="BO48" s="13">
        <f t="shared" si="52"/>
        <v>50.21813952045946</v>
      </c>
      <c r="BP48" s="52">
        <f t="shared" si="53"/>
        <v>41.449477685940195</v>
      </c>
    </row>
    <row r="49" spans="1:68" ht="15">
      <c r="A49" s="46" t="s">
        <v>5</v>
      </c>
      <c r="B49" s="6"/>
      <c r="C49" s="6"/>
      <c r="D49" s="6">
        <v>75</v>
      </c>
      <c r="E49" s="51">
        <f t="shared" si="0"/>
        <v>60.740738978350954</v>
      </c>
      <c r="F49" s="51">
        <f t="shared" si="1"/>
        <v>50.0247967807086</v>
      </c>
      <c r="G49" s="51">
        <f t="shared" si="2"/>
        <v>43.46035514429055</v>
      </c>
      <c r="H49" s="11">
        <f t="shared" si="3"/>
        <v>18.75</v>
      </c>
      <c r="I49" s="12">
        <f t="shared" si="4"/>
        <v>67.5</v>
      </c>
      <c r="J49" s="13">
        <f t="shared" si="5"/>
        <v>54.66666508051586</v>
      </c>
      <c r="K49" s="13">
        <f t="shared" si="6"/>
        <v>45.02231710263774</v>
      </c>
      <c r="L49" s="13">
        <f t="shared" si="7"/>
        <v>39.1143196298615</v>
      </c>
      <c r="M49" s="14">
        <f t="shared" si="8"/>
        <v>25</v>
      </c>
      <c r="N49" s="15">
        <f t="shared" si="9"/>
        <v>90</v>
      </c>
      <c r="O49" s="13">
        <f t="shared" si="10"/>
        <v>72.88888677402115</v>
      </c>
      <c r="P49" s="13">
        <f t="shared" si="11"/>
        <v>60.02975613685032</v>
      </c>
      <c r="Q49" s="13">
        <f t="shared" si="12"/>
        <v>52.15242617314866</v>
      </c>
      <c r="R49" s="15">
        <f t="shared" si="13"/>
        <v>31.25</v>
      </c>
      <c r="S49" s="15">
        <f t="shared" si="14"/>
        <v>112.5</v>
      </c>
      <c r="T49" s="13">
        <f t="shared" si="15"/>
        <v>91.11110846752644</v>
      </c>
      <c r="U49" s="13">
        <f t="shared" si="16"/>
        <v>75.03719517106289</v>
      </c>
      <c r="V49" s="52">
        <f t="shared" si="17"/>
        <v>65.19053271643583</v>
      </c>
      <c r="X49" s="46" t="s">
        <v>5</v>
      </c>
      <c r="Y49" s="6"/>
      <c r="Z49" s="6"/>
      <c r="AA49" s="6">
        <v>75</v>
      </c>
      <c r="AB49" s="51">
        <f t="shared" si="18"/>
        <v>73.18887017305187</v>
      </c>
      <c r="AC49" s="51">
        <f t="shared" si="19"/>
        <v>61.23883997120801</v>
      </c>
      <c r="AD49" s="51">
        <f t="shared" si="20"/>
        <v>47.11789656589998</v>
      </c>
      <c r="AE49" s="11">
        <f t="shared" si="21"/>
        <v>18.75</v>
      </c>
      <c r="AF49" s="12">
        <f t="shared" si="22"/>
        <v>67.5</v>
      </c>
      <c r="AG49" s="13">
        <f t="shared" si="23"/>
        <v>65.86998315574668</v>
      </c>
      <c r="AH49" s="13">
        <f t="shared" si="24"/>
        <v>55.11495597408721</v>
      </c>
      <c r="AI49" s="13">
        <f t="shared" si="25"/>
        <v>42.40610690930998</v>
      </c>
      <c r="AJ49" s="14">
        <f t="shared" si="26"/>
        <v>25</v>
      </c>
      <c r="AK49" s="15">
        <f t="shared" si="27"/>
        <v>90</v>
      </c>
      <c r="AL49" s="13">
        <f t="shared" si="28"/>
        <v>87.82664420766224</v>
      </c>
      <c r="AM49" s="13">
        <f t="shared" si="29"/>
        <v>73.48660796544961</v>
      </c>
      <c r="AN49" s="13">
        <f t="shared" si="30"/>
        <v>56.54147587907998</v>
      </c>
      <c r="AO49" s="15">
        <f t="shared" si="31"/>
        <v>31.25</v>
      </c>
      <c r="AP49" s="15">
        <f t="shared" si="32"/>
        <v>112.5</v>
      </c>
      <c r="AQ49" s="13">
        <f t="shared" si="33"/>
        <v>109.7833052595778</v>
      </c>
      <c r="AR49" s="13">
        <f t="shared" si="34"/>
        <v>91.858259956812</v>
      </c>
      <c r="AS49" s="52">
        <f t="shared" si="35"/>
        <v>70.67684484884997</v>
      </c>
      <c r="AU49" s="46" t="s">
        <v>5</v>
      </c>
      <c r="AV49" s="6"/>
      <c r="AW49" s="6"/>
      <c r="AX49" s="6">
        <v>75</v>
      </c>
      <c r="AY49" s="51">
        <f t="shared" si="36"/>
        <v>41.12582695563525</v>
      </c>
      <c r="AZ49" s="51">
        <f t="shared" si="37"/>
        <v>34.99015149727455</v>
      </c>
      <c r="BA49" s="51">
        <f t="shared" si="38"/>
        <v>28.880470633984157</v>
      </c>
      <c r="BB49" s="11">
        <f t="shared" si="39"/>
        <v>18.75</v>
      </c>
      <c r="BC49" s="12">
        <f t="shared" si="40"/>
        <v>67.5</v>
      </c>
      <c r="BD49" s="13">
        <f t="shared" si="41"/>
        <v>37.01324426007172</v>
      </c>
      <c r="BE49" s="13">
        <f t="shared" si="42"/>
        <v>31.491136347547098</v>
      </c>
      <c r="BF49" s="13">
        <f t="shared" si="43"/>
        <v>25.992423570585743</v>
      </c>
      <c r="BG49" s="14">
        <f t="shared" si="44"/>
        <v>25</v>
      </c>
      <c r="BH49" s="15">
        <f t="shared" si="45"/>
        <v>90</v>
      </c>
      <c r="BI49" s="13">
        <f t="shared" si="46"/>
        <v>49.3509923467623</v>
      </c>
      <c r="BJ49" s="13">
        <f t="shared" si="47"/>
        <v>41.988181796729464</v>
      </c>
      <c r="BK49" s="13">
        <f t="shared" si="48"/>
        <v>34.65656476078099</v>
      </c>
      <c r="BL49" s="15">
        <f t="shared" si="49"/>
        <v>31.25</v>
      </c>
      <c r="BM49" s="15">
        <f t="shared" si="50"/>
        <v>112.5</v>
      </c>
      <c r="BN49" s="13">
        <f t="shared" si="51"/>
        <v>61.68874043345287</v>
      </c>
      <c r="BO49" s="13">
        <f t="shared" si="52"/>
        <v>52.48522724591183</v>
      </c>
      <c r="BP49" s="52">
        <f t="shared" si="53"/>
        <v>43.32070595097623</v>
      </c>
    </row>
    <row r="50" spans="1:68" ht="12.75">
      <c r="A50" s="45" t="s">
        <v>0</v>
      </c>
      <c r="B50" s="6"/>
      <c r="C50" s="6"/>
      <c r="D50" s="50">
        <v>80</v>
      </c>
      <c r="E50" s="51">
        <f t="shared" si="0"/>
        <v>63.01681420010728</v>
      </c>
      <c r="F50" s="51">
        <f t="shared" si="1"/>
        <v>51.89932452503763</v>
      </c>
      <c r="G50" s="51">
        <f t="shared" si="2"/>
        <v>45.08890032066561</v>
      </c>
      <c r="H50" s="11">
        <f t="shared" si="3"/>
        <v>20</v>
      </c>
      <c r="I50" s="12">
        <f t="shared" si="4"/>
        <v>72</v>
      </c>
      <c r="J50" s="13">
        <f t="shared" si="5"/>
        <v>56.71513278009655</v>
      </c>
      <c r="K50" s="13">
        <f t="shared" si="6"/>
        <v>46.709392072533866</v>
      </c>
      <c r="L50" s="13">
        <f t="shared" si="7"/>
        <v>40.58001028859905</v>
      </c>
      <c r="M50" s="14">
        <f t="shared" si="8"/>
        <v>26.666666666666664</v>
      </c>
      <c r="N50" s="15">
        <f t="shared" si="9"/>
        <v>96</v>
      </c>
      <c r="O50" s="13">
        <f t="shared" si="10"/>
        <v>75.62017704012874</v>
      </c>
      <c r="P50" s="13">
        <f t="shared" si="11"/>
        <v>62.27918943004515</v>
      </c>
      <c r="Q50" s="13">
        <f t="shared" si="12"/>
        <v>54.10668038479873</v>
      </c>
      <c r="R50" s="15">
        <f t="shared" si="13"/>
        <v>33.333333333333336</v>
      </c>
      <c r="S50" s="15">
        <f t="shared" si="14"/>
        <v>120</v>
      </c>
      <c r="T50" s="13">
        <f t="shared" si="15"/>
        <v>94.52522130016092</v>
      </c>
      <c r="U50" s="13">
        <f t="shared" si="16"/>
        <v>77.84898678755644</v>
      </c>
      <c r="V50" s="52">
        <f t="shared" si="17"/>
        <v>67.63335048099842</v>
      </c>
      <c r="X50" s="45" t="s">
        <v>0</v>
      </c>
      <c r="Y50" s="6"/>
      <c r="Z50" s="6"/>
      <c r="AA50" s="50">
        <v>80</v>
      </c>
      <c r="AB50" s="51">
        <f t="shared" si="18"/>
        <v>76.76907334507338</v>
      </c>
      <c r="AC50" s="51">
        <f t="shared" si="19"/>
        <v>64.2344797262341</v>
      </c>
      <c r="AD50" s="51">
        <f t="shared" si="20"/>
        <v>49.422777654313464</v>
      </c>
      <c r="AE50" s="11">
        <f t="shared" si="21"/>
        <v>20</v>
      </c>
      <c r="AF50" s="12">
        <f t="shared" si="22"/>
        <v>72</v>
      </c>
      <c r="AG50" s="13">
        <f t="shared" si="23"/>
        <v>69.09216601056605</v>
      </c>
      <c r="AH50" s="13">
        <f t="shared" si="24"/>
        <v>57.81103175361069</v>
      </c>
      <c r="AI50" s="13">
        <f t="shared" si="25"/>
        <v>44.48049988888212</v>
      </c>
      <c r="AJ50" s="14">
        <f t="shared" si="26"/>
        <v>26.666666666666664</v>
      </c>
      <c r="AK50" s="15">
        <f t="shared" si="27"/>
        <v>96</v>
      </c>
      <c r="AL50" s="13">
        <f t="shared" si="28"/>
        <v>92.12288801408805</v>
      </c>
      <c r="AM50" s="13">
        <f t="shared" si="29"/>
        <v>77.08137567148091</v>
      </c>
      <c r="AN50" s="13">
        <f t="shared" si="30"/>
        <v>59.307333185176155</v>
      </c>
      <c r="AO50" s="15">
        <f t="shared" si="31"/>
        <v>33.333333333333336</v>
      </c>
      <c r="AP50" s="15">
        <f t="shared" si="32"/>
        <v>120</v>
      </c>
      <c r="AQ50" s="13">
        <f t="shared" si="33"/>
        <v>115.15361001761008</v>
      </c>
      <c r="AR50" s="13">
        <f t="shared" si="34"/>
        <v>96.35171958935115</v>
      </c>
      <c r="AS50" s="52">
        <f t="shared" si="35"/>
        <v>74.13416648147019</v>
      </c>
      <c r="AU50" s="45" t="s">
        <v>0</v>
      </c>
      <c r="AV50" s="6"/>
      <c r="AW50" s="6"/>
      <c r="AX50" s="50">
        <v>80</v>
      </c>
      <c r="AY50" s="51">
        <f t="shared" si="36"/>
        <v>42.86008489330159</v>
      </c>
      <c r="AZ50" s="51">
        <f t="shared" si="37"/>
        <v>36.46567071393997</v>
      </c>
      <c r="BA50" s="51">
        <f t="shared" si="38"/>
        <v>30.098347310228444</v>
      </c>
      <c r="BB50" s="11">
        <f t="shared" si="39"/>
        <v>20</v>
      </c>
      <c r="BC50" s="12">
        <f t="shared" si="40"/>
        <v>72</v>
      </c>
      <c r="BD50" s="13">
        <f t="shared" si="41"/>
        <v>38.57407640397143</v>
      </c>
      <c r="BE50" s="13">
        <f t="shared" si="42"/>
        <v>32.819103642545976</v>
      </c>
      <c r="BF50" s="13">
        <f t="shared" si="43"/>
        <v>27.0885125792056</v>
      </c>
      <c r="BG50" s="14">
        <f t="shared" si="44"/>
        <v>26.666666666666664</v>
      </c>
      <c r="BH50" s="15">
        <f t="shared" si="45"/>
        <v>96</v>
      </c>
      <c r="BI50" s="13">
        <f t="shared" si="46"/>
        <v>51.43210187196191</v>
      </c>
      <c r="BJ50" s="13">
        <f t="shared" si="47"/>
        <v>43.75880485672796</v>
      </c>
      <c r="BK50" s="13">
        <f t="shared" si="48"/>
        <v>36.11801677227413</v>
      </c>
      <c r="BL50" s="15">
        <f t="shared" si="49"/>
        <v>33.333333333333336</v>
      </c>
      <c r="BM50" s="15">
        <f t="shared" si="50"/>
        <v>120</v>
      </c>
      <c r="BN50" s="13">
        <f t="shared" si="51"/>
        <v>64.29012733995239</v>
      </c>
      <c r="BO50" s="13">
        <f t="shared" si="52"/>
        <v>54.69850607090996</v>
      </c>
      <c r="BP50" s="52">
        <f t="shared" si="53"/>
        <v>45.147520965342665</v>
      </c>
    </row>
    <row r="51" spans="1:68" ht="12.75">
      <c r="A51" s="45"/>
      <c r="B51" s="6"/>
      <c r="C51" s="6"/>
      <c r="D51" s="6">
        <v>85</v>
      </c>
      <c r="E51" s="51">
        <f t="shared" si="0"/>
        <v>65.23248736352039</v>
      </c>
      <c r="F51" s="51">
        <f t="shared" si="1"/>
        <v>53.72410640284315</v>
      </c>
      <c r="G51" s="51">
        <f t="shared" si="2"/>
        <v>46.67422746987807</v>
      </c>
      <c r="H51" s="11">
        <f t="shared" si="3"/>
        <v>21.25</v>
      </c>
      <c r="I51" s="12">
        <f t="shared" si="4"/>
        <v>76.5</v>
      </c>
      <c r="J51" s="13">
        <f t="shared" si="5"/>
        <v>58.709238627168354</v>
      </c>
      <c r="K51" s="13">
        <f t="shared" si="6"/>
        <v>48.35169576255883</v>
      </c>
      <c r="L51" s="13">
        <f t="shared" si="7"/>
        <v>42.006804722890266</v>
      </c>
      <c r="M51" s="14">
        <f t="shared" si="8"/>
        <v>28.333333333333332</v>
      </c>
      <c r="N51" s="15">
        <f t="shared" si="9"/>
        <v>102</v>
      </c>
      <c r="O51" s="13">
        <f t="shared" si="10"/>
        <v>78.27898483622447</v>
      </c>
      <c r="P51" s="13">
        <f t="shared" si="11"/>
        <v>64.46892768341178</v>
      </c>
      <c r="Q51" s="13">
        <f t="shared" si="12"/>
        <v>56.00907296385368</v>
      </c>
      <c r="R51" s="15">
        <f t="shared" si="13"/>
        <v>35.416666666666664</v>
      </c>
      <c r="S51" s="15">
        <f t="shared" si="14"/>
        <v>127.5</v>
      </c>
      <c r="T51" s="13">
        <f t="shared" si="15"/>
        <v>97.84873104528059</v>
      </c>
      <c r="U51" s="13">
        <f t="shared" si="16"/>
        <v>80.58615960426472</v>
      </c>
      <c r="V51" s="52">
        <f t="shared" si="17"/>
        <v>70.0113412048171</v>
      </c>
      <c r="X51" s="45"/>
      <c r="Y51" s="6"/>
      <c r="Z51" s="6"/>
      <c r="AA51" s="6">
        <v>85</v>
      </c>
      <c r="AB51" s="51">
        <f t="shared" si="18"/>
        <v>80.29152618128657</v>
      </c>
      <c r="AC51" s="51">
        <f t="shared" si="19"/>
        <v>67.18179842418569</v>
      </c>
      <c r="AD51" s="51">
        <f t="shared" si="20"/>
        <v>51.690479942960955</v>
      </c>
      <c r="AE51" s="11">
        <f t="shared" si="21"/>
        <v>21.25</v>
      </c>
      <c r="AF51" s="12">
        <f t="shared" si="22"/>
        <v>76.5</v>
      </c>
      <c r="AG51" s="13">
        <f t="shared" si="23"/>
        <v>72.26237356315792</v>
      </c>
      <c r="AH51" s="13">
        <f t="shared" si="24"/>
        <v>60.46361858176712</v>
      </c>
      <c r="AI51" s="13">
        <f t="shared" si="25"/>
        <v>46.52143194866486</v>
      </c>
      <c r="AJ51" s="14">
        <f t="shared" si="26"/>
        <v>28.333333333333332</v>
      </c>
      <c r="AK51" s="15">
        <f t="shared" si="27"/>
        <v>102</v>
      </c>
      <c r="AL51" s="13">
        <f t="shared" si="28"/>
        <v>96.34983141754388</v>
      </c>
      <c r="AM51" s="13">
        <f t="shared" si="29"/>
        <v>80.61815810902283</v>
      </c>
      <c r="AN51" s="13">
        <f t="shared" si="30"/>
        <v>62.02857593155315</v>
      </c>
      <c r="AO51" s="15">
        <f t="shared" si="31"/>
        <v>35.416666666666664</v>
      </c>
      <c r="AP51" s="15">
        <f t="shared" si="32"/>
        <v>127.5</v>
      </c>
      <c r="AQ51" s="13">
        <f t="shared" si="33"/>
        <v>120.43728927192986</v>
      </c>
      <c r="AR51" s="13">
        <f t="shared" si="34"/>
        <v>100.77269763627854</v>
      </c>
      <c r="AS51" s="52">
        <f t="shared" si="35"/>
        <v>77.53571991444143</v>
      </c>
      <c r="AU51" s="45"/>
      <c r="AV51" s="6"/>
      <c r="AW51" s="6"/>
      <c r="AX51" s="6">
        <v>85</v>
      </c>
      <c r="AY51" s="51">
        <f t="shared" si="36"/>
        <v>44.55572837563128</v>
      </c>
      <c r="AZ51" s="51">
        <f t="shared" si="37"/>
        <v>37.9083364722744</v>
      </c>
      <c r="BA51" s="51">
        <f t="shared" si="38"/>
        <v>31.28910711792683</v>
      </c>
      <c r="BB51" s="11">
        <f t="shared" si="39"/>
        <v>21.25</v>
      </c>
      <c r="BC51" s="12">
        <f t="shared" si="40"/>
        <v>76.5</v>
      </c>
      <c r="BD51" s="13">
        <f t="shared" si="41"/>
        <v>40.10015553806816</v>
      </c>
      <c r="BE51" s="13">
        <f t="shared" si="42"/>
        <v>34.11750282504696</v>
      </c>
      <c r="BF51" s="13">
        <f t="shared" si="43"/>
        <v>28.160196406134148</v>
      </c>
      <c r="BG51" s="14">
        <f t="shared" si="44"/>
        <v>28.333333333333332</v>
      </c>
      <c r="BH51" s="15">
        <f t="shared" si="45"/>
        <v>102</v>
      </c>
      <c r="BI51" s="13">
        <f t="shared" si="46"/>
        <v>53.46687405075754</v>
      </c>
      <c r="BJ51" s="13">
        <f t="shared" si="47"/>
        <v>45.49000376672928</v>
      </c>
      <c r="BK51" s="13">
        <f t="shared" si="48"/>
        <v>37.546928541512194</v>
      </c>
      <c r="BL51" s="15">
        <f t="shared" si="49"/>
        <v>35.416666666666664</v>
      </c>
      <c r="BM51" s="15">
        <f t="shared" si="50"/>
        <v>127.5</v>
      </c>
      <c r="BN51" s="13">
        <f t="shared" si="51"/>
        <v>66.83359256344693</v>
      </c>
      <c r="BO51" s="13">
        <f t="shared" si="52"/>
        <v>56.8625047084116</v>
      </c>
      <c r="BP51" s="52">
        <f t="shared" si="53"/>
        <v>46.93366067689024</v>
      </c>
    </row>
    <row r="52" spans="1:68" ht="12.75">
      <c r="A52" s="45" t="s">
        <v>1</v>
      </c>
      <c r="B52" s="6">
        <f>+F15</f>
        <v>3.70944</v>
      </c>
      <c r="C52" s="6"/>
      <c r="D52" s="50">
        <v>90</v>
      </c>
      <c r="E52" s="51">
        <f t="shared" si="0"/>
        <v>67.39278152664258</v>
      </c>
      <c r="F52" s="51">
        <f t="shared" si="1"/>
        <v>55.50327929922914</v>
      </c>
      <c r="G52" s="51">
        <f t="shared" si="2"/>
        <v>48.21993061943789</v>
      </c>
      <c r="H52" s="11">
        <f t="shared" si="3"/>
        <v>22.5</v>
      </c>
      <c r="I52" s="12">
        <f t="shared" si="4"/>
        <v>81</v>
      </c>
      <c r="J52" s="13">
        <f t="shared" si="5"/>
        <v>60.653503373978324</v>
      </c>
      <c r="K52" s="13">
        <f t="shared" si="6"/>
        <v>49.95295136930623</v>
      </c>
      <c r="L52" s="13">
        <f t="shared" si="7"/>
        <v>43.3979375574941</v>
      </c>
      <c r="M52" s="14">
        <f t="shared" si="8"/>
        <v>30</v>
      </c>
      <c r="N52" s="15">
        <f t="shared" si="9"/>
        <v>108</v>
      </c>
      <c r="O52" s="13">
        <f t="shared" si="10"/>
        <v>80.87133783197109</v>
      </c>
      <c r="P52" s="13">
        <f t="shared" si="11"/>
        <v>66.60393515907498</v>
      </c>
      <c r="Q52" s="13">
        <f t="shared" si="12"/>
        <v>57.86391674332547</v>
      </c>
      <c r="R52" s="15">
        <f t="shared" si="13"/>
        <v>37.5</v>
      </c>
      <c r="S52" s="15">
        <f t="shared" si="14"/>
        <v>135</v>
      </c>
      <c r="T52" s="13">
        <f t="shared" si="15"/>
        <v>101.08917228996387</v>
      </c>
      <c r="U52" s="13">
        <f t="shared" si="16"/>
        <v>83.25491894884371</v>
      </c>
      <c r="V52" s="52">
        <f t="shared" si="17"/>
        <v>72.32989592915683</v>
      </c>
      <c r="X52" s="45" t="s">
        <v>1</v>
      </c>
      <c r="Y52" s="6">
        <f>+M15</f>
        <v>1.93037</v>
      </c>
      <c r="Z52" s="6"/>
      <c r="AA52" s="50">
        <v>90</v>
      </c>
      <c r="AB52" s="51">
        <f t="shared" si="18"/>
        <v>83.76048145855349</v>
      </c>
      <c r="AC52" s="51">
        <f t="shared" si="19"/>
        <v>70.08435446295952</v>
      </c>
      <c r="AD52" s="51">
        <f t="shared" si="20"/>
        <v>53.9237413057819</v>
      </c>
      <c r="AE52" s="11">
        <f t="shared" si="21"/>
        <v>22.5</v>
      </c>
      <c r="AF52" s="12">
        <f t="shared" si="22"/>
        <v>81</v>
      </c>
      <c r="AG52" s="13">
        <f t="shared" si="23"/>
        <v>75.38443331269814</v>
      </c>
      <c r="AH52" s="13">
        <f t="shared" si="24"/>
        <v>63.075919016663576</v>
      </c>
      <c r="AI52" s="13">
        <f t="shared" si="25"/>
        <v>48.53136717520371</v>
      </c>
      <c r="AJ52" s="14">
        <f t="shared" si="26"/>
        <v>30</v>
      </c>
      <c r="AK52" s="15">
        <f t="shared" si="27"/>
        <v>108</v>
      </c>
      <c r="AL52" s="13">
        <f t="shared" si="28"/>
        <v>100.51257775026419</v>
      </c>
      <c r="AM52" s="13">
        <f t="shared" si="29"/>
        <v>84.10122535555143</v>
      </c>
      <c r="AN52" s="13">
        <f t="shared" si="30"/>
        <v>64.70848956693828</v>
      </c>
      <c r="AO52" s="15">
        <f t="shared" si="31"/>
        <v>37.5</v>
      </c>
      <c r="AP52" s="15">
        <f t="shared" si="32"/>
        <v>135</v>
      </c>
      <c r="AQ52" s="13">
        <f t="shared" si="33"/>
        <v>125.64072218783022</v>
      </c>
      <c r="AR52" s="13">
        <f t="shared" si="34"/>
        <v>105.12653169443928</v>
      </c>
      <c r="AS52" s="52">
        <f t="shared" si="35"/>
        <v>80.88561195867285</v>
      </c>
      <c r="AU52" s="45" t="s">
        <v>1</v>
      </c>
      <c r="AV52" s="6">
        <f>+T15</f>
        <v>1.82207</v>
      </c>
      <c r="AW52" s="6"/>
      <c r="AX52" s="50">
        <v>90</v>
      </c>
      <c r="AY52" s="51">
        <f t="shared" si="36"/>
        <v>46.215817682687764</v>
      </c>
      <c r="AZ52" s="51">
        <f t="shared" si="37"/>
        <v>39.32075248072509</v>
      </c>
      <c r="BA52" s="51">
        <f t="shared" si="38"/>
        <v>32.45489912823597</v>
      </c>
      <c r="BB52" s="11">
        <f t="shared" si="39"/>
        <v>22.5</v>
      </c>
      <c r="BC52" s="12">
        <f t="shared" si="40"/>
        <v>81</v>
      </c>
      <c r="BD52" s="13">
        <f t="shared" si="41"/>
        <v>41.59423591441899</v>
      </c>
      <c r="BE52" s="13">
        <f t="shared" si="42"/>
        <v>35.38867723265258</v>
      </c>
      <c r="BF52" s="13">
        <f t="shared" si="43"/>
        <v>29.209409215412375</v>
      </c>
      <c r="BG52" s="14">
        <f t="shared" si="44"/>
        <v>30</v>
      </c>
      <c r="BH52" s="15">
        <f t="shared" si="45"/>
        <v>108</v>
      </c>
      <c r="BI52" s="13">
        <f t="shared" si="46"/>
        <v>55.458981219225315</v>
      </c>
      <c r="BJ52" s="13">
        <f t="shared" si="47"/>
        <v>47.184902976870106</v>
      </c>
      <c r="BK52" s="13">
        <f t="shared" si="48"/>
        <v>38.94587895388317</v>
      </c>
      <c r="BL52" s="15">
        <f t="shared" si="49"/>
        <v>37.5</v>
      </c>
      <c r="BM52" s="15">
        <f t="shared" si="50"/>
        <v>135</v>
      </c>
      <c r="BN52" s="13">
        <f t="shared" si="51"/>
        <v>69.32372652403164</v>
      </c>
      <c r="BO52" s="13">
        <f t="shared" si="52"/>
        <v>58.981128721087636</v>
      </c>
      <c r="BP52" s="52">
        <f t="shared" si="53"/>
        <v>48.68234869235396</v>
      </c>
    </row>
    <row r="53" spans="1:68" ht="12.75">
      <c r="A53" s="45" t="s">
        <v>2</v>
      </c>
      <c r="B53" s="6">
        <f>+F16</f>
        <v>0.57</v>
      </c>
      <c r="C53" s="6"/>
      <c r="D53" s="6">
        <v>95</v>
      </c>
      <c r="E53" s="51">
        <f t="shared" si="0"/>
        <v>69.50204866256917</v>
      </c>
      <c r="F53" s="51">
        <f t="shared" si="1"/>
        <v>57.24042740782497</v>
      </c>
      <c r="G53" s="51">
        <f t="shared" si="2"/>
        <v>49.72912363163063</v>
      </c>
      <c r="H53" s="11">
        <f t="shared" si="3"/>
        <v>23.75</v>
      </c>
      <c r="I53" s="12">
        <f t="shared" si="4"/>
        <v>85.5</v>
      </c>
      <c r="J53" s="13">
        <f t="shared" si="5"/>
        <v>62.55184379631225</v>
      </c>
      <c r="K53" s="13">
        <f t="shared" si="6"/>
        <v>51.51638466704247</v>
      </c>
      <c r="L53" s="13">
        <f t="shared" si="7"/>
        <v>44.75621126846757</v>
      </c>
      <c r="M53" s="14">
        <f t="shared" si="8"/>
        <v>31.666666666666664</v>
      </c>
      <c r="N53" s="15">
        <f t="shared" si="9"/>
        <v>114</v>
      </c>
      <c r="O53" s="13">
        <f t="shared" si="10"/>
        <v>83.402458395083</v>
      </c>
      <c r="P53" s="13">
        <f t="shared" si="11"/>
        <v>68.68851288938997</v>
      </c>
      <c r="Q53" s="13">
        <f t="shared" si="12"/>
        <v>59.67494835795675</v>
      </c>
      <c r="R53" s="15">
        <f t="shared" si="13"/>
        <v>39.583333333333336</v>
      </c>
      <c r="S53" s="15">
        <f t="shared" si="14"/>
        <v>142.5</v>
      </c>
      <c r="T53" s="13">
        <f t="shared" si="15"/>
        <v>104.25307299385375</v>
      </c>
      <c r="U53" s="13">
        <f t="shared" si="16"/>
        <v>85.86064111173745</v>
      </c>
      <c r="V53" s="52">
        <f t="shared" si="17"/>
        <v>74.59368544744594</v>
      </c>
      <c r="X53" s="45" t="s">
        <v>2</v>
      </c>
      <c r="Y53" s="6">
        <f>+M16</f>
        <v>0.74</v>
      </c>
      <c r="Z53" s="6"/>
      <c r="AA53" s="6">
        <v>95</v>
      </c>
      <c r="AB53" s="51">
        <f t="shared" si="18"/>
        <v>87.17966100541629</v>
      </c>
      <c r="AC53" s="51">
        <f t="shared" si="19"/>
        <v>72.94526198357124</v>
      </c>
      <c r="AD53" s="51">
        <f t="shared" si="20"/>
        <v>56.124957800153226</v>
      </c>
      <c r="AE53" s="11">
        <f t="shared" si="21"/>
        <v>23.75</v>
      </c>
      <c r="AF53" s="12">
        <f t="shared" si="22"/>
        <v>85.5</v>
      </c>
      <c r="AG53" s="13">
        <f t="shared" si="23"/>
        <v>78.46169490487466</v>
      </c>
      <c r="AH53" s="13">
        <f t="shared" si="24"/>
        <v>65.65073578521412</v>
      </c>
      <c r="AI53" s="13">
        <f t="shared" si="25"/>
        <v>50.5124620201379</v>
      </c>
      <c r="AJ53" s="14">
        <f t="shared" si="26"/>
        <v>31.666666666666664</v>
      </c>
      <c r="AK53" s="15">
        <f t="shared" si="27"/>
        <v>114</v>
      </c>
      <c r="AL53" s="13">
        <f t="shared" si="28"/>
        <v>104.61559320649955</v>
      </c>
      <c r="AM53" s="13">
        <f t="shared" si="29"/>
        <v>87.5343143802855</v>
      </c>
      <c r="AN53" s="13">
        <f t="shared" si="30"/>
        <v>67.34994936018387</v>
      </c>
      <c r="AO53" s="15">
        <f t="shared" si="31"/>
        <v>39.583333333333336</v>
      </c>
      <c r="AP53" s="15">
        <f t="shared" si="32"/>
        <v>142.5</v>
      </c>
      <c r="AQ53" s="13">
        <f t="shared" si="33"/>
        <v>130.76949150812445</v>
      </c>
      <c r="AR53" s="13">
        <f t="shared" si="34"/>
        <v>109.41789297535686</v>
      </c>
      <c r="AS53" s="52">
        <f t="shared" si="35"/>
        <v>84.18743670022984</v>
      </c>
      <c r="AU53" s="45" t="s">
        <v>2</v>
      </c>
      <c r="AV53" s="6">
        <f>+T16</f>
        <v>0.64</v>
      </c>
      <c r="AW53" s="6"/>
      <c r="AX53" s="6">
        <v>95</v>
      </c>
      <c r="AY53" s="51">
        <f t="shared" si="36"/>
        <v>47.84301523712911</v>
      </c>
      <c r="AZ53" s="51">
        <f t="shared" si="37"/>
        <v>40.70518394777661</v>
      </c>
      <c r="BA53" s="51">
        <f t="shared" si="38"/>
        <v>33.597593018317</v>
      </c>
      <c r="BB53" s="11">
        <f t="shared" si="39"/>
        <v>23.75</v>
      </c>
      <c r="BC53" s="12">
        <f t="shared" si="40"/>
        <v>85.5</v>
      </c>
      <c r="BD53" s="13">
        <f t="shared" si="41"/>
        <v>43.058713713416196</v>
      </c>
      <c r="BE53" s="13">
        <f t="shared" si="42"/>
        <v>36.63466555299895</v>
      </c>
      <c r="BF53" s="13">
        <f t="shared" si="43"/>
        <v>30.2378337164853</v>
      </c>
      <c r="BG53" s="14">
        <f t="shared" si="44"/>
        <v>31.666666666666664</v>
      </c>
      <c r="BH53" s="15">
        <f t="shared" si="45"/>
        <v>114</v>
      </c>
      <c r="BI53" s="13">
        <f t="shared" si="46"/>
        <v>57.41161828455493</v>
      </c>
      <c r="BJ53" s="13">
        <f t="shared" si="47"/>
        <v>48.84622073733193</v>
      </c>
      <c r="BK53" s="13">
        <f t="shared" si="48"/>
        <v>40.3171116219804</v>
      </c>
      <c r="BL53" s="15">
        <f t="shared" si="49"/>
        <v>39.583333333333336</v>
      </c>
      <c r="BM53" s="15">
        <f t="shared" si="50"/>
        <v>142.5</v>
      </c>
      <c r="BN53" s="13">
        <f t="shared" si="51"/>
        <v>71.76452285569367</v>
      </c>
      <c r="BO53" s="13">
        <f t="shared" si="52"/>
        <v>61.05777592166491</v>
      </c>
      <c r="BP53" s="52">
        <f t="shared" si="53"/>
        <v>50.3963895274755</v>
      </c>
    </row>
    <row r="54" spans="1:68" ht="12.75">
      <c r="A54" s="45"/>
      <c r="B54" s="6"/>
      <c r="C54" s="6"/>
      <c r="D54" s="50">
        <v>100</v>
      </c>
      <c r="E54" s="51">
        <f t="shared" si="0"/>
        <v>71.56408966036614</v>
      </c>
      <c r="F54" s="51">
        <f t="shared" si="1"/>
        <v>58.93868106102877</v>
      </c>
      <c r="G54" s="51">
        <f t="shared" si="2"/>
        <v>51.20452606488526</v>
      </c>
      <c r="H54" s="11">
        <f t="shared" si="3"/>
        <v>25</v>
      </c>
      <c r="I54" s="12">
        <f t="shared" si="4"/>
        <v>90</v>
      </c>
      <c r="J54" s="13">
        <f t="shared" si="5"/>
        <v>64.40768069432953</v>
      </c>
      <c r="K54" s="13">
        <f t="shared" si="6"/>
        <v>53.04481295492589</v>
      </c>
      <c r="L54" s="13">
        <f t="shared" si="7"/>
        <v>46.08407345839673</v>
      </c>
      <c r="M54" s="14">
        <f t="shared" si="8"/>
        <v>33.333333333333336</v>
      </c>
      <c r="N54" s="15">
        <f t="shared" si="9"/>
        <v>120</v>
      </c>
      <c r="O54" s="13">
        <f t="shared" si="10"/>
        <v>85.87690759243937</v>
      </c>
      <c r="P54" s="13">
        <f t="shared" si="11"/>
        <v>70.72641727323452</v>
      </c>
      <c r="Q54" s="13">
        <f t="shared" si="12"/>
        <v>61.445431277862305</v>
      </c>
      <c r="R54" s="15">
        <f t="shared" si="13"/>
        <v>41.666666666666664</v>
      </c>
      <c r="S54" s="15">
        <f t="shared" si="14"/>
        <v>150</v>
      </c>
      <c r="T54" s="13">
        <f t="shared" si="15"/>
        <v>107.3461344905492</v>
      </c>
      <c r="U54" s="13">
        <f t="shared" si="16"/>
        <v>88.40802159154315</v>
      </c>
      <c r="V54" s="52">
        <f t="shared" si="17"/>
        <v>76.80678909732788</v>
      </c>
      <c r="X54" s="45"/>
      <c r="Y54" s="6"/>
      <c r="Z54" s="6"/>
      <c r="AA54" s="50">
        <v>100</v>
      </c>
      <c r="AB54" s="51">
        <f t="shared" si="18"/>
        <v>90.55234635073835</v>
      </c>
      <c r="AC54" s="51">
        <f t="shared" si="19"/>
        <v>75.76726671799415</v>
      </c>
      <c r="AD54" s="51">
        <f t="shared" si="20"/>
        <v>58.2962420251244</v>
      </c>
      <c r="AE54" s="11">
        <f t="shared" si="21"/>
        <v>25</v>
      </c>
      <c r="AF54" s="12">
        <f t="shared" si="22"/>
        <v>90</v>
      </c>
      <c r="AG54" s="13">
        <f t="shared" si="23"/>
        <v>81.49711171566452</v>
      </c>
      <c r="AH54" s="13">
        <f t="shared" si="24"/>
        <v>68.19054004619474</v>
      </c>
      <c r="AI54" s="13">
        <f t="shared" si="25"/>
        <v>52.46661782261196</v>
      </c>
      <c r="AJ54" s="14">
        <f t="shared" si="26"/>
        <v>33.333333333333336</v>
      </c>
      <c r="AK54" s="15">
        <f t="shared" si="27"/>
        <v>120</v>
      </c>
      <c r="AL54" s="13">
        <f t="shared" si="28"/>
        <v>108.66281562088602</v>
      </c>
      <c r="AM54" s="13">
        <f t="shared" si="29"/>
        <v>90.92072006159297</v>
      </c>
      <c r="AN54" s="13">
        <f t="shared" si="30"/>
        <v>69.95549043014928</v>
      </c>
      <c r="AO54" s="15">
        <f t="shared" si="31"/>
        <v>41.666666666666664</v>
      </c>
      <c r="AP54" s="15">
        <f t="shared" si="32"/>
        <v>150</v>
      </c>
      <c r="AQ54" s="13">
        <f t="shared" si="33"/>
        <v>135.82851952610753</v>
      </c>
      <c r="AR54" s="13">
        <f t="shared" si="34"/>
        <v>113.65090007699122</v>
      </c>
      <c r="AS54" s="52">
        <f t="shared" si="35"/>
        <v>87.4443630376866</v>
      </c>
      <c r="AU54" s="45"/>
      <c r="AV54" s="6"/>
      <c r="AW54" s="6"/>
      <c r="AX54" s="50">
        <v>100</v>
      </c>
      <c r="AY54" s="51">
        <f t="shared" si="36"/>
        <v>49.439655426489814</v>
      </c>
      <c r="AZ54" s="51">
        <f t="shared" si="37"/>
        <v>42.063616987254086</v>
      </c>
      <c r="BA54" s="51">
        <f t="shared" si="38"/>
        <v>34.71882810379295</v>
      </c>
      <c r="BB54" s="11">
        <f t="shared" si="39"/>
        <v>25</v>
      </c>
      <c r="BC54" s="12">
        <f t="shared" si="40"/>
        <v>90</v>
      </c>
      <c r="BD54" s="13">
        <f t="shared" si="41"/>
        <v>44.49568988384083</v>
      </c>
      <c r="BE54" s="13">
        <f t="shared" si="42"/>
        <v>37.85725528852868</v>
      </c>
      <c r="BF54" s="13">
        <f t="shared" si="43"/>
        <v>31.246945293413656</v>
      </c>
      <c r="BG54" s="14">
        <f t="shared" si="44"/>
        <v>33.333333333333336</v>
      </c>
      <c r="BH54" s="15">
        <f t="shared" si="45"/>
        <v>120</v>
      </c>
      <c r="BI54" s="13">
        <f t="shared" si="46"/>
        <v>59.32758651178778</v>
      </c>
      <c r="BJ54" s="13">
        <f t="shared" si="47"/>
        <v>50.476340384704905</v>
      </c>
      <c r="BK54" s="13">
        <f t="shared" si="48"/>
        <v>41.66259372455154</v>
      </c>
      <c r="BL54" s="15">
        <f t="shared" si="49"/>
        <v>41.666666666666664</v>
      </c>
      <c r="BM54" s="15">
        <f t="shared" si="50"/>
        <v>150</v>
      </c>
      <c r="BN54" s="13">
        <f t="shared" si="51"/>
        <v>74.15948313973472</v>
      </c>
      <c r="BO54" s="13">
        <f t="shared" si="52"/>
        <v>63.09542548088113</v>
      </c>
      <c r="BP54" s="52">
        <f t="shared" si="53"/>
        <v>52.07824215568942</v>
      </c>
    </row>
    <row r="55" spans="1:68" ht="12.75">
      <c r="A55" s="45"/>
      <c r="B55" s="6"/>
      <c r="C55" s="6"/>
      <c r="D55" s="6">
        <v>105</v>
      </c>
      <c r="E55" s="51">
        <f t="shared" si="0"/>
        <v>73.58224797665564</v>
      </c>
      <c r="F55" s="51">
        <f t="shared" si="1"/>
        <v>60.6007938594862</v>
      </c>
      <c r="G55" s="51">
        <f t="shared" si="2"/>
        <v>52.64853018203317</v>
      </c>
      <c r="H55" s="11">
        <f t="shared" si="3"/>
        <v>26.25</v>
      </c>
      <c r="I55" s="12">
        <f t="shared" si="4"/>
        <v>94.5</v>
      </c>
      <c r="J55" s="13">
        <f t="shared" si="5"/>
        <v>66.22402317899008</v>
      </c>
      <c r="K55" s="13">
        <f t="shared" si="6"/>
        <v>54.540714473537584</v>
      </c>
      <c r="L55" s="13">
        <f t="shared" si="7"/>
        <v>47.38367716382985</v>
      </c>
      <c r="M55" s="14">
        <f t="shared" si="8"/>
        <v>35</v>
      </c>
      <c r="N55" s="15">
        <f t="shared" si="9"/>
        <v>126</v>
      </c>
      <c r="O55" s="13">
        <f t="shared" si="10"/>
        <v>88.29869757198676</v>
      </c>
      <c r="P55" s="13">
        <f t="shared" si="11"/>
        <v>72.72095263138344</v>
      </c>
      <c r="Q55" s="13">
        <f t="shared" si="12"/>
        <v>63.1782362184398</v>
      </c>
      <c r="R55" s="15">
        <f t="shared" si="13"/>
        <v>43.75</v>
      </c>
      <c r="S55" s="15">
        <f t="shared" si="14"/>
        <v>157.5</v>
      </c>
      <c r="T55" s="13">
        <f t="shared" si="15"/>
        <v>110.37337196498345</v>
      </c>
      <c r="U55" s="13">
        <f t="shared" si="16"/>
        <v>90.9011907892293</v>
      </c>
      <c r="V55" s="52">
        <f t="shared" si="17"/>
        <v>78.97279527304975</v>
      </c>
      <c r="X55" s="45"/>
      <c r="Y55" s="6"/>
      <c r="Z55" s="6"/>
      <c r="AA55" s="6">
        <v>105</v>
      </c>
      <c r="AB55" s="51">
        <f t="shared" si="18"/>
        <v>93.88145014811136</v>
      </c>
      <c r="AC55" s="51">
        <f t="shared" si="19"/>
        <v>78.5528057516317</v>
      </c>
      <c r="AD55" s="51">
        <f t="shared" si="20"/>
        <v>60.43946910337929</v>
      </c>
      <c r="AE55" s="11">
        <f t="shared" si="21"/>
        <v>26.25</v>
      </c>
      <c r="AF55" s="12">
        <f t="shared" si="22"/>
        <v>94.5</v>
      </c>
      <c r="AG55" s="13">
        <f t="shared" si="23"/>
        <v>84.49330513330023</v>
      </c>
      <c r="AH55" s="13">
        <f t="shared" si="24"/>
        <v>70.69752517646853</v>
      </c>
      <c r="AI55" s="13">
        <f t="shared" si="25"/>
        <v>54.39552219304136</v>
      </c>
      <c r="AJ55" s="14">
        <f t="shared" si="26"/>
        <v>35</v>
      </c>
      <c r="AK55" s="15">
        <f t="shared" si="27"/>
        <v>126</v>
      </c>
      <c r="AL55" s="13">
        <f t="shared" si="28"/>
        <v>112.65774017773361</v>
      </c>
      <c r="AM55" s="13">
        <f t="shared" si="29"/>
        <v>94.26336690195804</v>
      </c>
      <c r="AN55" s="13">
        <f t="shared" si="30"/>
        <v>72.52736292405515</v>
      </c>
      <c r="AO55" s="15">
        <f t="shared" si="31"/>
        <v>43.75</v>
      </c>
      <c r="AP55" s="15">
        <f t="shared" si="32"/>
        <v>157.5</v>
      </c>
      <c r="AQ55" s="13">
        <f t="shared" si="33"/>
        <v>140.82217522216703</v>
      </c>
      <c r="AR55" s="13">
        <f t="shared" si="34"/>
        <v>117.82920862744754</v>
      </c>
      <c r="AS55" s="52">
        <f t="shared" si="35"/>
        <v>90.65920365506894</v>
      </c>
      <c r="AU55" s="45"/>
      <c r="AV55" s="6"/>
      <c r="AW55" s="6"/>
      <c r="AX55" s="6">
        <v>105</v>
      </c>
      <c r="AY55" s="51">
        <f t="shared" si="36"/>
        <v>51.007799309261024</v>
      </c>
      <c r="AZ55" s="51">
        <f t="shared" si="37"/>
        <v>43.397805162652475</v>
      </c>
      <c r="BA55" s="51">
        <f t="shared" si="38"/>
        <v>35.82005175590555</v>
      </c>
      <c r="BB55" s="11">
        <f t="shared" si="39"/>
        <v>26.25</v>
      </c>
      <c r="BC55" s="12">
        <f t="shared" si="40"/>
        <v>94.5</v>
      </c>
      <c r="BD55" s="13">
        <f t="shared" si="41"/>
        <v>45.90701937833492</v>
      </c>
      <c r="BE55" s="13">
        <f t="shared" si="42"/>
        <v>39.05802464638723</v>
      </c>
      <c r="BF55" s="13">
        <f t="shared" si="43"/>
        <v>32.238046580315</v>
      </c>
      <c r="BG55" s="14">
        <f t="shared" si="44"/>
        <v>35</v>
      </c>
      <c r="BH55" s="15">
        <f t="shared" si="45"/>
        <v>126</v>
      </c>
      <c r="BI55" s="13">
        <f t="shared" si="46"/>
        <v>61.209359171113235</v>
      </c>
      <c r="BJ55" s="13">
        <f t="shared" si="47"/>
        <v>52.07736619518297</v>
      </c>
      <c r="BK55" s="13">
        <f t="shared" si="48"/>
        <v>42.984062107086665</v>
      </c>
      <c r="BL55" s="15">
        <f t="shared" si="49"/>
        <v>43.75</v>
      </c>
      <c r="BM55" s="15">
        <f t="shared" si="50"/>
        <v>157.5</v>
      </c>
      <c r="BN55" s="13">
        <f t="shared" si="51"/>
        <v>76.51169896389155</v>
      </c>
      <c r="BO55" s="13">
        <f t="shared" si="52"/>
        <v>65.09670774397871</v>
      </c>
      <c r="BP55" s="52">
        <f t="shared" si="53"/>
        <v>53.73007763385833</v>
      </c>
    </row>
    <row r="56" spans="1:68" ht="12.75">
      <c r="A56" s="45"/>
      <c r="B56" s="6"/>
      <c r="C56" s="6"/>
      <c r="D56" s="50">
        <v>110</v>
      </c>
      <c r="E56" s="51">
        <f t="shared" si="0"/>
        <v>75.55948369662933</v>
      </c>
      <c r="F56" s="51">
        <f t="shared" si="1"/>
        <v>62.229203667185374</v>
      </c>
      <c r="G56" s="51">
        <f t="shared" si="2"/>
        <v>54.063253941397726</v>
      </c>
      <c r="H56" s="11">
        <f t="shared" si="3"/>
        <v>27.5</v>
      </c>
      <c r="I56" s="12">
        <f t="shared" si="4"/>
        <v>99</v>
      </c>
      <c r="J56" s="13">
        <f t="shared" si="5"/>
        <v>68.0035353269664</v>
      </c>
      <c r="K56" s="13">
        <f t="shared" si="6"/>
        <v>56.00628330046684</v>
      </c>
      <c r="L56" s="13">
        <f t="shared" si="7"/>
        <v>48.656928547257955</v>
      </c>
      <c r="M56" s="14">
        <f t="shared" si="8"/>
        <v>36.666666666666664</v>
      </c>
      <c r="N56" s="15">
        <f t="shared" si="9"/>
        <v>132</v>
      </c>
      <c r="O56" s="13">
        <f t="shared" si="10"/>
        <v>90.6713804359552</v>
      </c>
      <c r="P56" s="13">
        <f t="shared" si="11"/>
        <v>74.67504440062244</v>
      </c>
      <c r="Q56" s="13">
        <f t="shared" si="12"/>
        <v>64.87590472967727</v>
      </c>
      <c r="R56" s="15">
        <f t="shared" si="13"/>
        <v>45.833333333333336</v>
      </c>
      <c r="S56" s="15">
        <f t="shared" si="14"/>
        <v>165</v>
      </c>
      <c r="T56" s="13">
        <f t="shared" si="15"/>
        <v>113.339225544944</v>
      </c>
      <c r="U56" s="13">
        <f t="shared" si="16"/>
        <v>93.34380550077806</v>
      </c>
      <c r="V56" s="52">
        <f t="shared" si="17"/>
        <v>81.09488091209658</v>
      </c>
      <c r="X56" s="45"/>
      <c r="Y56" s="6"/>
      <c r="Z56" s="6"/>
      <c r="AA56" s="50">
        <v>110</v>
      </c>
      <c r="AB56" s="51">
        <f t="shared" si="18"/>
        <v>97.16957317286185</v>
      </c>
      <c r="AC56" s="51">
        <f t="shared" si="19"/>
        <v>81.30405521404629</v>
      </c>
      <c r="AD56" s="51">
        <f t="shared" si="20"/>
        <v>62.55631337505371</v>
      </c>
      <c r="AE56" s="11">
        <f t="shared" si="21"/>
        <v>27.5</v>
      </c>
      <c r="AF56" s="12">
        <f t="shared" si="22"/>
        <v>99</v>
      </c>
      <c r="AG56" s="13">
        <f t="shared" si="23"/>
        <v>87.45261585557566</v>
      </c>
      <c r="AH56" s="13">
        <f t="shared" si="24"/>
        <v>73.17364969264166</v>
      </c>
      <c r="AI56" s="13">
        <f t="shared" si="25"/>
        <v>56.30068203754834</v>
      </c>
      <c r="AJ56" s="14">
        <f t="shared" si="26"/>
        <v>36.666666666666664</v>
      </c>
      <c r="AK56" s="15">
        <f t="shared" si="27"/>
        <v>132</v>
      </c>
      <c r="AL56" s="13">
        <f t="shared" si="28"/>
        <v>116.6034878074342</v>
      </c>
      <c r="AM56" s="13">
        <f t="shared" si="29"/>
        <v>97.56486625685554</v>
      </c>
      <c r="AN56" s="13">
        <f t="shared" si="30"/>
        <v>75.06757605006446</v>
      </c>
      <c r="AO56" s="15">
        <f t="shared" si="31"/>
        <v>45.833333333333336</v>
      </c>
      <c r="AP56" s="15">
        <f t="shared" si="32"/>
        <v>165</v>
      </c>
      <c r="AQ56" s="13">
        <f t="shared" si="33"/>
        <v>145.75435975929278</v>
      </c>
      <c r="AR56" s="13">
        <f t="shared" si="34"/>
        <v>121.95608282106943</v>
      </c>
      <c r="AS56" s="52">
        <f t="shared" si="35"/>
        <v>93.83447006258056</v>
      </c>
      <c r="AU56" s="45"/>
      <c r="AV56" s="6"/>
      <c r="AW56" s="6"/>
      <c r="AX56" s="50">
        <v>110</v>
      </c>
      <c r="AY56" s="51">
        <f t="shared" si="36"/>
        <v>52.54927803879826</v>
      </c>
      <c r="AZ56" s="51">
        <f t="shared" si="37"/>
        <v>44.7093064325119</v>
      </c>
      <c r="BA56" s="51">
        <f t="shared" si="38"/>
        <v>36.902549895805244</v>
      </c>
      <c r="BB56" s="11">
        <f t="shared" si="39"/>
        <v>27.5</v>
      </c>
      <c r="BC56" s="12">
        <f t="shared" si="40"/>
        <v>99</v>
      </c>
      <c r="BD56" s="13">
        <f t="shared" si="41"/>
        <v>47.29435023491844</v>
      </c>
      <c r="BE56" s="13">
        <f t="shared" si="42"/>
        <v>40.238375789260715</v>
      </c>
      <c r="BF56" s="13">
        <f t="shared" si="43"/>
        <v>33.21229490622472</v>
      </c>
      <c r="BG56" s="14">
        <f t="shared" si="44"/>
        <v>36.666666666666664</v>
      </c>
      <c r="BH56" s="15">
        <f t="shared" si="45"/>
        <v>132</v>
      </c>
      <c r="BI56" s="13">
        <f t="shared" si="46"/>
        <v>63.05913364655792</v>
      </c>
      <c r="BJ56" s="13">
        <f t="shared" si="47"/>
        <v>53.65116771901428</v>
      </c>
      <c r="BK56" s="13">
        <f t="shared" si="48"/>
        <v>44.28305987496629</v>
      </c>
      <c r="BL56" s="15">
        <f t="shared" si="49"/>
        <v>45.833333333333336</v>
      </c>
      <c r="BM56" s="15">
        <f t="shared" si="50"/>
        <v>165</v>
      </c>
      <c r="BN56" s="13">
        <f t="shared" si="51"/>
        <v>78.8239170581974</v>
      </c>
      <c r="BO56" s="13">
        <f t="shared" si="52"/>
        <v>67.06395964876785</v>
      </c>
      <c r="BP56" s="52">
        <f t="shared" si="53"/>
        <v>55.35382484370786</v>
      </c>
    </row>
    <row r="57" spans="1:68" ht="12.75">
      <c r="A57" s="45"/>
      <c r="B57" s="6"/>
      <c r="C57" s="6"/>
      <c r="D57" s="6">
        <v>115</v>
      </c>
      <c r="E57" s="51">
        <f t="shared" si="0"/>
        <v>77.49843280239975</v>
      </c>
      <c r="F57" s="51">
        <f t="shared" si="1"/>
        <v>63.826081423626114</v>
      </c>
      <c r="G57" s="51">
        <f t="shared" si="2"/>
        <v>55.45058340364745</v>
      </c>
      <c r="H57" s="11">
        <f t="shared" si="3"/>
        <v>28.75</v>
      </c>
      <c r="I57" s="12">
        <f t="shared" si="4"/>
        <v>103.5</v>
      </c>
      <c r="J57" s="13">
        <f t="shared" si="5"/>
        <v>69.74858952215978</v>
      </c>
      <c r="K57" s="13">
        <f t="shared" si="6"/>
        <v>57.4434732812635</v>
      </c>
      <c r="L57" s="13">
        <f t="shared" si="7"/>
        <v>49.9055250632827</v>
      </c>
      <c r="M57" s="14">
        <f t="shared" si="8"/>
        <v>38.333333333333336</v>
      </c>
      <c r="N57" s="15">
        <f t="shared" si="9"/>
        <v>138</v>
      </c>
      <c r="O57" s="13">
        <f t="shared" si="10"/>
        <v>92.99811936287969</v>
      </c>
      <c r="P57" s="13">
        <f t="shared" si="11"/>
        <v>76.59129770835133</v>
      </c>
      <c r="Q57" s="13">
        <f t="shared" si="12"/>
        <v>66.54070008437694</v>
      </c>
      <c r="R57" s="15">
        <f t="shared" si="13"/>
        <v>47.916666666666664</v>
      </c>
      <c r="S57" s="15">
        <f t="shared" si="14"/>
        <v>172.5</v>
      </c>
      <c r="T57" s="13">
        <f t="shared" si="15"/>
        <v>116.24764920359962</v>
      </c>
      <c r="U57" s="13">
        <f t="shared" si="16"/>
        <v>95.73912213543917</v>
      </c>
      <c r="V57" s="52">
        <f t="shared" si="17"/>
        <v>83.17587510547118</v>
      </c>
      <c r="X57" s="45"/>
      <c r="Y57" s="6"/>
      <c r="Z57" s="6"/>
      <c r="AA57" s="6">
        <v>115</v>
      </c>
      <c r="AB57" s="51">
        <f t="shared" si="18"/>
        <v>100.41905032814425</v>
      </c>
      <c r="AC57" s="51">
        <f t="shared" si="19"/>
        <v>84.02296877333367</v>
      </c>
      <c r="AD57" s="51">
        <f t="shared" si="20"/>
        <v>64.64827801576797</v>
      </c>
      <c r="AE57" s="11">
        <f t="shared" si="21"/>
        <v>28.75</v>
      </c>
      <c r="AF57" s="12">
        <f t="shared" si="22"/>
        <v>103.5</v>
      </c>
      <c r="AG57" s="13">
        <f t="shared" si="23"/>
        <v>90.37714529532983</v>
      </c>
      <c r="AH57" s="13">
        <f t="shared" si="24"/>
        <v>75.6206718960003</v>
      </c>
      <c r="AI57" s="13">
        <f t="shared" si="25"/>
        <v>58.183450214191176</v>
      </c>
      <c r="AJ57" s="14">
        <f t="shared" si="26"/>
        <v>38.333333333333336</v>
      </c>
      <c r="AK57" s="15">
        <f t="shared" si="27"/>
        <v>138</v>
      </c>
      <c r="AL57" s="13">
        <f t="shared" si="28"/>
        <v>120.50286039377309</v>
      </c>
      <c r="AM57" s="13">
        <f t="shared" si="29"/>
        <v>100.8275625280004</v>
      </c>
      <c r="AN57" s="13">
        <f t="shared" si="30"/>
        <v>77.57793361892156</v>
      </c>
      <c r="AO57" s="15">
        <f t="shared" si="31"/>
        <v>47.916666666666664</v>
      </c>
      <c r="AP57" s="15">
        <f t="shared" si="32"/>
        <v>172.5</v>
      </c>
      <c r="AQ57" s="13">
        <f t="shared" si="33"/>
        <v>150.62857549221638</v>
      </c>
      <c r="AR57" s="13">
        <f t="shared" si="34"/>
        <v>126.03445316000051</v>
      </c>
      <c r="AS57" s="52">
        <f t="shared" si="35"/>
        <v>96.97241702365196</v>
      </c>
      <c r="AU57" s="45"/>
      <c r="AV57" s="6"/>
      <c r="AW57" s="6"/>
      <c r="AX57" s="6">
        <v>115</v>
      </c>
      <c r="AY57" s="51">
        <f t="shared" si="36"/>
        <v>54.06572773703485</v>
      </c>
      <c r="AZ57" s="51">
        <f t="shared" si="37"/>
        <v>45.999512821225586</v>
      </c>
      <c r="BA57" s="51">
        <f t="shared" si="38"/>
        <v>37.96747148449648</v>
      </c>
      <c r="BB57" s="11">
        <f t="shared" si="39"/>
        <v>28.75</v>
      </c>
      <c r="BC57" s="12">
        <f t="shared" si="40"/>
        <v>103.5</v>
      </c>
      <c r="BD57" s="13">
        <f t="shared" si="41"/>
        <v>48.65915496333137</v>
      </c>
      <c r="BE57" s="13">
        <f t="shared" si="42"/>
        <v>41.399561539103026</v>
      </c>
      <c r="BF57" s="13">
        <f t="shared" si="43"/>
        <v>34.17072433604683</v>
      </c>
      <c r="BG57" s="14">
        <f t="shared" si="44"/>
        <v>38.333333333333336</v>
      </c>
      <c r="BH57" s="15">
        <f t="shared" si="45"/>
        <v>138</v>
      </c>
      <c r="BI57" s="13">
        <f t="shared" si="46"/>
        <v>64.87887328444182</v>
      </c>
      <c r="BJ57" s="13">
        <f t="shared" si="47"/>
        <v>55.1994153854707</v>
      </c>
      <c r="BK57" s="13">
        <f t="shared" si="48"/>
        <v>45.56096578139577</v>
      </c>
      <c r="BL57" s="15">
        <f t="shared" si="49"/>
        <v>47.916666666666664</v>
      </c>
      <c r="BM57" s="15">
        <f t="shared" si="50"/>
        <v>172.5</v>
      </c>
      <c r="BN57" s="13">
        <f t="shared" si="51"/>
        <v>81.09859160555227</v>
      </c>
      <c r="BO57" s="13">
        <f t="shared" si="52"/>
        <v>68.99926923183838</v>
      </c>
      <c r="BP57" s="52">
        <f t="shared" si="53"/>
        <v>56.951207226744714</v>
      </c>
    </row>
    <row r="58" spans="1:68" ht="12.75">
      <c r="A58" s="45"/>
      <c r="B58" s="6"/>
      <c r="C58" s="6"/>
      <c r="D58" s="50">
        <v>120</v>
      </c>
      <c r="E58" s="51">
        <f t="shared" si="0"/>
        <v>79.40145511487898</v>
      </c>
      <c r="F58" s="51">
        <f t="shared" si="1"/>
        <v>65.39337062774426</v>
      </c>
      <c r="G58" s="51">
        <f t="shared" si="2"/>
        <v>56.812207034491564</v>
      </c>
      <c r="H58" s="11">
        <f t="shared" si="3"/>
        <v>30</v>
      </c>
      <c r="I58" s="12">
        <f t="shared" si="4"/>
        <v>108</v>
      </c>
      <c r="J58" s="13">
        <f t="shared" si="5"/>
        <v>71.46130960339109</v>
      </c>
      <c r="K58" s="13">
        <f t="shared" si="6"/>
        <v>58.85403356496984</v>
      </c>
      <c r="L58" s="13">
        <f t="shared" si="7"/>
        <v>51.13098633104241</v>
      </c>
      <c r="M58" s="14">
        <f t="shared" si="8"/>
        <v>40</v>
      </c>
      <c r="N58" s="15">
        <f t="shared" si="9"/>
        <v>144</v>
      </c>
      <c r="O58" s="13">
        <f t="shared" si="10"/>
        <v>95.28174613785478</v>
      </c>
      <c r="P58" s="13">
        <f t="shared" si="11"/>
        <v>78.47204475329312</v>
      </c>
      <c r="Q58" s="13">
        <f t="shared" si="12"/>
        <v>68.17464844138988</v>
      </c>
      <c r="R58" s="15">
        <f t="shared" si="13"/>
        <v>50</v>
      </c>
      <c r="S58" s="15">
        <f t="shared" si="14"/>
        <v>180</v>
      </c>
      <c r="T58" s="13">
        <f t="shared" si="15"/>
        <v>119.10218267231848</v>
      </c>
      <c r="U58" s="13">
        <f t="shared" si="16"/>
        <v>98.09005594161638</v>
      </c>
      <c r="V58" s="52">
        <f t="shared" si="17"/>
        <v>85.21831055173735</v>
      </c>
      <c r="X58" s="45"/>
      <c r="Y58" s="6"/>
      <c r="Z58" s="6"/>
      <c r="AA58" s="50">
        <v>120</v>
      </c>
      <c r="AB58" s="51">
        <f t="shared" si="18"/>
        <v>103.6319881644002</v>
      </c>
      <c r="AC58" s="51">
        <f t="shared" si="19"/>
        <v>86.71130902953239</v>
      </c>
      <c r="AD58" s="51">
        <f t="shared" si="20"/>
        <v>66.71671919109185</v>
      </c>
      <c r="AE58" s="11">
        <f t="shared" si="21"/>
        <v>30</v>
      </c>
      <c r="AF58" s="12">
        <f t="shared" si="22"/>
        <v>108</v>
      </c>
      <c r="AG58" s="13">
        <f t="shared" si="23"/>
        <v>93.26878934796018</v>
      </c>
      <c r="AH58" s="13">
        <f t="shared" si="24"/>
        <v>78.04017812657915</v>
      </c>
      <c r="AI58" s="13">
        <f t="shared" si="25"/>
        <v>60.04504727198267</v>
      </c>
      <c r="AJ58" s="14">
        <f t="shared" si="26"/>
        <v>40</v>
      </c>
      <c r="AK58" s="15">
        <f t="shared" si="27"/>
        <v>144</v>
      </c>
      <c r="AL58" s="13">
        <f t="shared" si="28"/>
        <v>124.35838579728023</v>
      </c>
      <c r="AM58" s="13">
        <f t="shared" si="29"/>
        <v>104.05357083543886</v>
      </c>
      <c r="AN58" s="13">
        <f t="shared" si="30"/>
        <v>80.06006302931023</v>
      </c>
      <c r="AO58" s="15">
        <f t="shared" si="31"/>
        <v>50</v>
      </c>
      <c r="AP58" s="15">
        <f t="shared" si="32"/>
        <v>180</v>
      </c>
      <c r="AQ58" s="13">
        <f t="shared" si="33"/>
        <v>155.4479822466003</v>
      </c>
      <c r="AR58" s="13">
        <f t="shared" si="34"/>
        <v>130.06696354429857</v>
      </c>
      <c r="AS58" s="52">
        <f t="shared" si="35"/>
        <v>100.07507878663777</v>
      </c>
      <c r="AU58" s="45"/>
      <c r="AV58" s="6"/>
      <c r="AW58" s="6"/>
      <c r="AX58" s="50">
        <v>120</v>
      </c>
      <c r="AY58" s="51">
        <f t="shared" si="36"/>
        <v>55.55861779874728</v>
      </c>
      <c r="AZ58" s="51">
        <f t="shared" si="37"/>
        <v>47.269674500513986</v>
      </c>
      <c r="BA58" s="51">
        <f t="shared" si="38"/>
        <v>39.015848399410885</v>
      </c>
      <c r="BB58" s="11">
        <f t="shared" si="39"/>
        <v>30</v>
      </c>
      <c r="BC58" s="12">
        <f t="shared" si="40"/>
        <v>108</v>
      </c>
      <c r="BD58" s="13">
        <f t="shared" si="41"/>
        <v>50.00275601887255</v>
      </c>
      <c r="BE58" s="13">
        <f t="shared" si="42"/>
        <v>42.54270705046259</v>
      </c>
      <c r="BF58" s="13">
        <f t="shared" si="43"/>
        <v>35.1142635594698</v>
      </c>
      <c r="BG58" s="14">
        <f t="shared" si="44"/>
        <v>40</v>
      </c>
      <c r="BH58" s="15">
        <f t="shared" si="45"/>
        <v>144</v>
      </c>
      <c r="BI58" s="13">
        <f t="shared" si="46"/>
        <v>66.67034135849673</v>
      </c>
      <c r="BJ58" s="13">
        <f t="shared" si="47"/>
        <v>56.72360940061679</v>
      </c>
      <c r="BK58" s="13">
        <f t="shared" si="48"/>
        <v>46.81901807929306</v>
      </c>
      <c r="BL58" s="15">
        <f t="shared" si="49"/>
        <v>50</v>
      </c>
      <c r="BM58" s="15">
        <f t="shared" si="50"/>
        <v>180</v>
      </c>
      <c r="BN58" s="13">
        <f t="shared" si="51"/>
        <v>83.33792669812092</v>
      </c>
      <c r="BO58" s="13">
        <f t="shared" si="52"/>
        <v>70.90451175077098</v>
      </c>
      <c r="BP58" s="52">
        <f t="shared" si="53"/>
        <v>58.52377259911633</v>
      </c>
    </row>
    <row r="59" spans="1:68" ht="12.75">
      <c r="A59" s="45"/>
      <c r="B59" s="6"/>
      <c r="C59" s="6"/>
      <c r="D59" s="50">
        <v>125</v>
      </c>
      <c r="E59" s="51">
        <f t="shared" si="0"/>
        <v>81.2706734531845</v>
      </c>
      <c r="F59" s="51">
        <f t="shared" si="1"/>
        <v>66.93281958877576</v>
      </c>
      <c r="G59" s="51">
        <f t="shared" si="2"/>
        <v>58.14964372346456</v>
      </c>
      <c r="H59" s="11">
        <f t="shared" si="3"/>
        <v>31.25</v>
      </c>
      <c r="I59" s="12">
        <f t="shared" si="4"/>
        <v>112.5</v>
      </c>
      <c r="J59" s="13">
        <f t="shared" si="5"/>
        <v>73.14360610786605</v>
      </c>
      <c r="K59" s="13">
        <f t="shared" si="6"/>
        <v>60.23953762989818</v>
      </c>
      <c r="L59" s="13">
        <f t="shared" si="7"/>
        <v>52.334679351118105</v>
      </c>
      <c r="M59" s="14">
        <f t="shared" si="8"/>
        <v>41.666666666666664</v>
      </c>
      <c r="N59" s="15">
        <f t="shared" si="9"/>
        <v>150</v>
      </c>
      <c r="O59" s="13">
        <f t="shared" si="10"/>
        <v>97.5248081438214</v>
      </c>
      <c r="P59" s="13">
        <f t="shared" si="11"/>
        <v>80.31938350653091</v>
      </c>
      <c r="Q59" s="13">
        <f t="shared" si="12"/>
        <v>69.77957246815747</v>
      </c>
      <c r="R59" s="15">
        <f t="shared" si="13"/>
        <v>52.08333333333333</v>
      </c>
      <c r="S59" s="15">
        <f t="shared" si="14"/>
        <v>187.5</v>
      </c>
      <c r="T59" s="13">
        <f t="shared" si="15"/>
        <v>121.90601017977676</v>
      </c>
      <c r="U59" s="13">
        <f t="shared" si="16"/>
        <v>100.39922938316363</v>
      </c>
      <c r="V59" s="52">
        <f t="shared" si="17"/>
        <v>87.22446558519684</v>
      </c>
      <c r="X59" s="45"/>
      <c r="Y59" s="6"/>
      <c r="Z59" s="6"/>
      <c r="AA59" s="50">
        <v>125</v>
      </c>
      <c r="AB59" s="51">
        <f t="shared" si="18"/>
        <v>106.81029576541438</v>
      </c>
      <c r="AC59" s="51">
        <f t="shared" si="19"/>
        <v>89.37067335770926</v>
      </c>
      <c r="AD59" s="51">
        <f t="shared" si="20"/>
        <v>68.76286594052398</v>
      </c>
      <c r="AE59" s="11">
        <f t="shared" si="21"/>
        <v>31.25</v>
      </c>
      <c r="AF59" s="12">
        <f t="shared" si="22"/>
        <v>112.5</v>
      </c>
      <c r="AG59" s="13">
        <f t="shared" si="23"/>
        <v>96.12926618887295</v>
      </c>
      <c r="AH59" s="13">
        <f t="shared" si="24"/>
        <v>80.43360602193835</v>
      </c>
      <c r="AI59" s="13">
        <f t="shared" si="25"/>
        <v>61.886579346471585</v>
      </c>
      <c r="AJ59" s="14">
        <f t="shared" si="26"/>
        <v>41.666666666666664</v>
      </c>
      <c r="AK59" s="15">
        <f t="shared" si="27"/>
        <v>150</v>
      </c>
      <c r="AL59" s="13">
        <f t="shared" si="28"/>
        <v>128.17235491849726</v>
      </c>
      <c r="AM59" s="13">
        <f t="shared" si="29"/>
        <v>107.24480802925112</v>
      </c>
      <c r="AN59" s="13">
        <f t="shared" si="30"/>
        <v>82.51543912862877</v>
      </c>
      <c r="AO59" s="15">
        <f t="shared" si="31"/>
        <v>52.08333333333333</v>
      </c>
      <c r="AP59" s="15">
        <f t="shared" si="32"/>
        <v>187.5</v>
      </c>
      <c r="AQ59" s="13">
        <f t="shared" si="33"/>
        <v>160.21544364812158</v>
      </c>
      <c r="AR59" s="13">
        <f t="shared" si="34"/>
        <v>134.05601003656392</v>
      </c>
      <c r="AS59" s="52">
        <f t="shared" si="35"/>
        <v>103.14429891078598</v>
      </c>
      <c r="AU59" s="45"/>
      <c r="AV59" s="6"/>
      <c r="AW59" s="6"/>
      <c r="AX59" s="50">
        <v>125</v>
      </c>
      <c r="AY59" s="51">
        <f t="shared" si="36"/>
        <v>57.0292740850835</v>
      </c>
      <c r="AZ59" s="51">
        <f t="shared" si="37"/>
        <v>48.52091952264654</v>
      </c>
      <c r="BA59" s="51">
        <f t="shared" si="38"/>
        <v>40.048611721982745</v>
      </c>
      <c r="BB59" s="11">
        <f t="shared" si="39"/>
        <v>31.25</v>
      </c>
      <c r="BC59" s="12">
        <f t="shared" si="40"/>
        <v>112.5</v>
      </c>
      <c r="BD59" s="13">
        <f t="shared" si="41"/>
        <v>51.32634667657515</v>
      </c>
      <c r="BE59" s="13">
        <f t="shared" si="42"/>
        <v>43.668827570381886</v>
      </c>
      <c r="BF59" s="13">
        <f t="shared" si="43"/>
        <v>36.04375054978447</v>
      </c>
      <c r="BG59" s="14">
        <f t="shared" si="44"/>
        <v>41.666666666666664</v>
      </c>
      <c r="BH59" s="15">
        <f t="shared" si="45"/>
        <v>150</v>
      </c>
      <c r="BI59" s="13">
        <f t="shared" si="46"/>
        <v>68.4351289021002</v>
      </c>
      <c r="BJ59" s="13">
        <f t="shared" si="47"/>
        <v>58.225103427175846</v>
      </c>
      <c r="BK59" s="13">
        <f t="shared" si="48"/>
        <v>48.05833406637929</v>
      </c>
      <c r="BL59" s="15">
        <f t="shared" si="49"/>
        <v>52.08333333333333</v>
      </c>
      <c r="BM59" s="15">
        <f t="shared" si="50"/>
        <v>187.5</v>
      </c>
      <c r="BN59" s="13">
        <f t="shared" si="51"/>
        <v>85.54391112762525</v>
      </c>
      <c r="BO59" s="13">
        <f t="shared" si="52"/>
        <v>72.7813792839698</v>
      </c>
      <c r="BP59" s="52">
        <f t="shared" si="53"/>
        <v>60.072917582974114</v>
      </c>
    </row>
    <row r="60" spans="1:68" ht="12.75">
      <c r="A60" s="45"/>
      <c r="B60" s="6"/>
      <c r="C60" s="6"/>
      <c r="D60" s="6">
        <v>130</v>
      </c>
      <c r="E60" s="51">
        <f t="shared" si="0"/>
        <v>83.10800590568846</v>
      </c>
      <c r="F60" s="51">
        <f t="shared" si="1"/>
        <v>68.446008004015</v>
      </c>
      <c r="G60" s="51">
        <f t="shared" si="2"/>
        <v>59.46426587405138</v>
      </c>
      <c r="H60" s="11">
        <f t="shared" si="3"/>
        <v>32.5</v>
      </c>
      <c r="I60" s="12">
        <f t="shared" si="4"/>
        <v>117</v>
      </c>
      <c r="J60" s="13">
        <f t="shared" si="5"/>
        <v>74.79720531511961</v>
      </c>
      <c r="K60" s="13">
        <f t="shared" si="6"/>
        <v>61.6014072036135</v>
      </c>
      <c r="L60" s="13">
        <f t="shared" si="7"/>
        <v>53.51783928664624</v>
      </c>
      <c r="M60" s="14">
        <f t="shared" si="8"/>
        <v>43.333333333333336</v>
      </c>
      <c r="N60" s="15">
        <f t="shared" si="9"/>
        <v>156</v>
      </c>
      <c r="O60" s="13">
        <f t="shared" si="10"/>
        <v>99.72960708682615</v>
      </c>
      <c r="P60" s="13">
        <f t="shared" si="11"/>
        <v>82.135209604818</v>
      </c>
      <c r="Q60" s="13">
        <f t="shared" si="12"/>
        <v>71.35711904886166</v>
      </c>
      <c r="R60" s="15">
        <f t="shared" si="13"/>
        <v>54.166666666666664</v>
      </c>
      <c r="S60" s="15">
        <f t="shared" si="14"/>
        <v>195</v>
      </c>
      <c r="T60" s="13">
        <f t="shared" si="15"/>
        <v>124.66200885853269</v>
      </c>
      <c r="U60" s="13">
        <f t="shared" si="16"/>
        <v>102.6690120060225</v>
      </c>
      <c r="V60" s="52">
        <f t="shared" si="17"/>
        <v>89.19639881107707</v>
      </c>
      <c r="X60" s="45"/>
      <c r="Y60" s="6"/>
      <c r="Z60" s="6"/>
      <c r="AA60" s="6">
        <v>130</v>
      </c>
      <c r="AB60" s="51">
        <f t="shared" si="18"/>
        <v>109.95571039166353</v>
      </c>
      <c r="AC60" s="51">
        <f t="shared" si="19"/>
        <v>92.00251536434939</v>
      </c>
      <c r="AD60" s="51">
        <f t="shared" si="20"/>
        <v>70.78783668629518</v>
      </c>
      <c r="AE60" s="11">
        <f t="shared" si="21"/>
        <v>32.5</v>
      </c>
      <c r="AF60" s="12">
        <f t="shared" si="22"/>
        <v>117</v>
      </c>
      <c r="AG60" s="13">
        <f t="shared" si="23"/>
        <v>98.96013935249718</v>
      </c>
      <c r="AH60" s="13">
        <f t="shared" si="24"/>
        <v>82.80226382791446</v>
      </c>
      <c r="AI60" s="13">
        <f t="shared" si="25"/>
        <v>63.70905301766566</v>
      </c>
      <c r="AJ60" s="14">
        <f t="shared" si="26"/>
        <v>43.333333333333336</v>
      </c>
      <c r="AK60" s="15">
        <f t="shared" si="27"/>
        <v>156</v>
      </c>
      <c r="AL60" s="13">
        <f t="shared" si="28"/>
        <v>131.94685246999623</v>
      </c>
      <c r="AM60" s="13">
        <f t="shared" si="29"/>
        <v>110.40301843721927</v>
      </c>
      <c r="AN60" s="13">
        <f t="shared" si="30"/>
        <v>84.94540402355422</v>
      </c>
      <c r="AO60" s="15">
        <f t="shared" si="31"/>
        <v>54.166666666666664</v>
      </c>
      <c r="AP60" s="15">
        <f t="shared" si="32"/>
        <v>195</v>
      </c>
      <c r="AQ60" s="13">
        <f t="shared" si="33"/>
        <v>164.9335655874953</v>
      </c>
      <c r="AR60" s="13">
        <f t="shared" si="34"/>
        <v>138.0037730465241</v>
      </c>
      <c r="AS60" s="52">
        <f t="shared" si="35"/>
        <v>106.18175502944277</v>
      </c>
      <c r="AU60" s="45"/>
      <c r="AV60" s="6"/>
      <c r="AW60" s="6"/>
      <c r="AX60" s="6">
        <v>130</v>
      </c>
      <c r="AY60" s="51">
        <f t="shared" si="36"/>
        <v>58.47889809594575</v>
      </c>
      <c r="AZ60" s="51">
        <f t="shared" si="37"/>
        <v>49.754270132443985</v>
      </c>
      <c r="BA60" s="51">
        <f t="shared" si="38"/>
        <v>41.066605201388974</v>
      </c>
      <c r="BB60" s="11">
        <f t="shared" si="39"/>
        <v>32.5</v>
      </c>
      <c r="BC60" s="12">
        <f t="shared" si="40"/>
        <v>117</v>
      </c>
      <c r="BD60" s="13">
        <f t="shared" si="41"/>
        <v>52.631008286351175</v>
      </c>
      <c r="BE60" s="13">
        <f t="shared" si="42"/>
        <v>44.778843119199585</v>
      </c>
      <c r="BF60" s="13">
        <f t="shared" si="43"/>
        <v>36.95994468125008</v>
      </c>
      <c r="BG60" s="14">
        <f t="shared" si="44"/>
        <v>43.333333333333336</v>
      </c>
      <c r="BH60" s="15">
        <f t="shared" si="45"/>
        <v>156</v>
      </c>
      <c r="BI60" s="13">
        <f t="shared" si="46"/>
        <v>70.1746777151349</v>
      </c>
      <c r="BJ60" s="13">
        <f t="shared" si="47"/>
        <v>59.70512415893278</v>
      </c>
      <c r="BK60" s="13">
        <f t="shared" si="48"/>
        <v>49.27992624166677</v>
      </c>
      <c r="BL60" s="15">
        <f t="shared" si="49"/>
        <v>54.166666666666664</v>
      </c>
      <c r="BM60" s="15">
        <f t="shared" si="50"/>
        <v>195</v>
      </c>
      <c r="BN60" s="13">
        <f t="shared" si="51"/>
        <v>87.71834714391862</v>
      </c>
      <c r="BO60" s="13">
        <f t="shared" si="52"/>
        <v>74.63140519866597</v>
      </c>
      <c r="BP60" s="52">
        <f t="shared" si="53"/>
        <v>61.599907802083465</v>
      </c>
    </row>
    <row r="61" spans="1:68" ht="12.75">
      <c r="A61" s="45"/>
      <c r="B61" s="6"/>
      <c r="C61" s="6"/>
      <c r="D61" s="50">
        <v>135</v>
      </c>
      <c r="E61" s="51">
        <f t="shared" si="0"/>
        <v>84.91519264148148</v>
      </c>
      <c r="F61" s="51">
        <f t="shared" si="1"/>
        <v>69.93436904017328</v>
      </c>
      <c r="G61" s="51">
        <f t="shared" si="2"/>
        <v>60.75731858744707</v>
      </c>
      <c r="H61" s="11">
        <f t="shared" si="3"/>
        <v>33.75</v>
      </c>
      <c r="I61" s="12">
        <f t="shared" si="4"/>
        <v>121.5</v>
      </c>
      <c r="J61" s="13">
        <f t="shared" si="5"/>
        <v>76.42367337733333</v>
      </c>
      <c r="K61" s="13">
        <f t="shared" si="6"/>
        <v>62.94093213615595</v>
      </c>
      <c r="L61" s="13">
        <f t="shared" si="7"/>
        <v>54.681586728702364</v>
      </c>
      <c r="M61" s="14">
        <f t="shared" si="8"/>
        <v>45</v>
      </c>
      <c r="N61" s="15">
        <f t="shared" si="9"/>
        <v>162</v>
      </c>
      <c r="O61" s="13">
        <f t="shared" si="10"/>
        <v>101.89823116977777</v>
      </c>
      <c r="P61" s="13">
        <f t="shared" si="11"/>
        <v>83.92124284820794</v>
      </c>
      <c r="Q61" s="13">
        <f t="shared" si="12"/>
        <v>72.90878230493648</v>
      </c>
      <c r="R61" s="15">
        <f t="shared" si="13"/>
        <v>56.25</v>
      </c>
      <c r="S61" s="15">
        <f t="shared" si="14"/>
        <v>202.5</v>
      </c>
      <c r="T61" s="13">
        <f t="shared" si="15"/>
        <v>127.37278896222223</v>
      </c>
      <c r="U61" s="13">
        <f t="shared" si="16"/>
        <v>104.90155356025993</v>
      </c>
      <c r="V61" s="52">
        <f t="shared" si="17"/>
        <v>91.1359778811706</v>
      </c>
      <c r="X61" s="45"/>
      <c r="Y61" s="6"/>
      <c r="Z61" s="6"/>
      <c r="AA61" s="50">
        <v>135</v>
      </c>
      <c r="AB61" s="51">
        <f t="shared" si="18"/>
        <v>113.069818937893</v>
      </c>
      <c r="AC61" s="51">
        <f t="shared" si="19"/>
        <v>94.60816284141258</v>
      </c>
      <c r="AD61" s="51">
        <f t="shared" si="20"/>
        <v>72.79265304743436</v>
      </c>
      <c r="AE61" s="11">
        <f t="shared" si="21"/>
        <v>33.75</v>
      </c>
      <c r="AF61" s="12">
        <f t="shared" si="22"/>
        <v>121.5</v>
      </c>
      <c r="AG61" s="13">
        <f t="shared" si="23"/>
        <v>101.7628370441037</v>
      </c>
      <c r="AH61" s="13">
        <f t="shared" si="24"/>
        <v>85.14734655727132</v>
      </c>
      <c r="AI61" s="13">
        <f t="shared" si="25"/>
        <v>65.51338774269092</v>
      </c>
      <c r="AJ61" s="14">
        <f t="shared" si="26"/>
        <v>45</v>
      </c>
      <c r="AK61" s="15">
        <f t="shared" si="27"/>
        <v>162</v>
      </c>
      <c r="AL61" s="13">
        <f t="shared" si="28"/>
        <v>135.6837827254716</v>
      </c>
      <c r="AM61" s="13">
        <f t="shared" si="29"/>
        <v>113.5297954096951</v>
      </c>
      <c r="AN61" s="13">
        <f t="shared" si="30"/>
        <v>87.35118365692124</v>
      </c>
      <c r="AO61" s="15">
        <f t="shared" si="31"/>
        <v>56.25</v>
      </c>
      <c r="AP61" s="15">
        <f t="shared" si="32"/>
        <v>202.5</v>
      </c>
      <c r="AQ61" s="13">
        <f t="shared" si="33"/>
        <v>169.6047284068395</v>
      </c>
      <c r="AR61" s="13">
        <f t="shared" si="34"/>
        <v>141.9122442621189</v>
      </c>
      <c r="AS61" s="52">
        <f t="shared" si="35"/>
        <v>109.18897957115153</v>
      </c>
      <c r="AU61" s="45"/>
      <c r="AV61" s="6"/>
      <c r="AW61" s="6"/>
      <c r="AX61" s="50">
        <v>135</v>
      </c>
      <c r="AY61" s="51">
        <f t="shared" si="36"/>
        <v>59.908582945675086</v>
      </c>
      <c r="AZ61" s="51">
        <f t="shared" si="37"/>
        <v>50.97065635950642</v>
      </c>
      <c r="BA61" s="51">
        <f t="shared" si="38"/>
        <v>42.07059647341865</v>
      </c>
      <c r="BB61" s="11">
        <f t="shared" si="39"/>
        <v>33.75</v>
      </c>
      <c r="BC61" s="12">
        <f t="shared" si="40"/>
        <v>121.5</v>
      </c>
      <c r="BD61" s="13">
        <f t="shared" si="41"/>
        <v>53.91772465110758</v>
      </c>
      <c r="BE61" s="13">
        <f t="shared" si="42"/>
        <v>45.87359072355578</v>
      </c>
      <c r="BF61" s="13">
        <f t="shared" si="43"/>
        <v>37.86353682607678</v>
      </c>
      <c r="BG61" s="14">
        <f t="shared" si="44"/>
        <v>45</v>
      </c>
      <c r="BH61" s="15">
        <f t="shared" si="45"/>
        <v>162</v>
      </c>
      <c r="BI61" s="13">
        <f t="shared" si="46"/>
        <v>71.8902995348101</v>
      </c>
      <c r="BJ61" s="13">
        <f t="shared" si="47"/>
        <v>61.164787631407705</v>
      </c>
      <c r="BK61" s="13">
        <f t="shared" si="48"/>
        <v>50.484715768102376</v>
      </c>
      <c r="BL61" s="15">
        <f t="shared" si="49"/>
        <v>56.25</v>
      </c>
      <c r="BM61" s="15">
        <f t="shared" si="50"/>
        <v>202.5</v>
      </c>
      <c r="BN61" s="13">
        <f t="shared" si="51"/>
        <v>89.86287441851263</v>
      </c>
      <c r="BO61" s="13">
        <f t="shared" si="52"/>
        <v>76.45598453925963</v>
      </c>
      <c r="BP61" s="52">
        <f t="shared" si="53"/>
        <v>63.10589471012797</v>
      </c>
    </row>
    <row r="62" spans="1:68" ht="12.75">
      <c r="A62" s="45"/>
      <c r="B62" s="6"/>
      <c r="C62" s="6"/>
      <c r="D62" s="6">
        <v>140</v>
      </c>
      <c r="E62" s="51">
        <f t="shared" si="0"/>
        <v>86.69381835294291</v>
      </c>
      <c r="F62" s="51">
        <f t="shared" si="1"/>
        <v>71.39920781660821</v>
      </c>
      <c r="G62" s="51">
        <f t="shared" si="2"/>
        <v>62.02993572034745</v>
      </c>
      <c r="H62" s="11">
        <f t="shared" si="3"/>
        <v>35</v>
      </c>
      <c r="I62" s="12">
        <f t="shared" si="4"/>
        <v>126</v>
      </c>
      <c r="J62" s="13">
        <f t="shared" si="5"/>
        <v>78.02443651764862</v>
      </c>
      <c r="K62" s="13">
        <f t="shared" si="6"/>
        <v>64.25928703494739</v>
      </c>
      <c r="L62" s="13">
        <f t="shared" si="7"/>
        <v>55.82694214831271</v>
      </c>
      <c r="M62" s="14">
        <f t="shared" si="8"/>
        <v>46.666666666666664</v>
      </c>
      <c r="N62" s="15">
        <f t="shared" si="9"/>
        <v>168</v>
      </c>
      <c r="O62" s="13">
        <f t="shared" si="10"/>
        <v>104.03258202353149</v>
      </c>
      <c r="P62" s="13">
        <f t="shared" si="11"/>
        <v>85.67904937992985</v>
      </c>
      <c r="Q62" s="13">
        <f t="shared" si="12"/>
        <v>74.43592286441695</v>
      </c>
      <c r="R62" s="15">
        <f t="shared" si="13"/>
        <v>58.33333333333333</v>
      </c>
      <c r="S62" s="15">
        <f t="shared" si="14"/>
        <v>210</v>
      </c>
      <c r="T62" s="13">
        <f t="shared" si="15"/>
        <v>130.04072752941437</v>
      </c>
      <c r="U62" s="13">
        <f t="shared" si="16"/>
        <v>107.09881172491232</v>
      </c>
      <c r="V62" s="52">
        <f t="shared" si="17"/>
        <v>93.04490358052118</v>
      </c>
      <c r="X62" s="45"/>
      <c r="Y62" s="6"/>
      <c r="Z62" s="6"/>
      <c r="AA62" s="6">
        <v>140</v>
      </c>
      <c r="AB62" s="51">
        <f t="shared" si="18"/>
        <v>116.15407601757853</v>
      </c>
      <c r="AC62" s="51">
        <f t="shared" si="19"/>
        <v>97.18883289802552</v>
      </c>
      <c r="AD62" s="51">
        <f t="shared" si="20"/>
        <v>74.77825148227365</v>
      </c>
      <c r="AE62" s="11">
        <f t="shared" si="21"/>
        <v>35</v>
      </c>
      <c r="AF62" s="12">
        <f t="shared" si="22"/>
        <v>126</v>
      </c>
      <c r="AG62" s="13">
        <f t="shared" si="23"/>
        <v>104.53866841582068</v>
      </c>
      <c r="AH62" s="13">
        <f t="shared" si="24"/>
        <v>87.46994960822298</v>
      </c>
      <c r="AI62" s="13">
        <f t="shared" si="25"/>
        <v>67.30042633404628</v>
      </c>
      <c r="AJ62" s="14">
        <f t="shared" si="26"/>
        <v>46.666666666666664</v>
      </c>
      <c r="AK62" s="15">
        <f t="shared" si="27"/>
        <v>168</v>
      </c>
      <c r="AL62" s="13">
        <f t="shared" si="28"/>
        <v>139.38489122109425</v>
      </c>
      <c r="AM62" s="13">
        <f t="shared" si="29"/>
        <v>116.62659947763063</v>
      </c>
      <c r="AN62" s="13">
        <f t="shared" si="30"/>
        <v>89.73390177872838</v>
      </c>
      <c r="AO62" s="15">
        <f t="shared" si="31"/>
        <v>58.33333333333333</v>
      </c>
      <c r="AP62" s="15">
        <f t="shared" si="32"/>
        <v>210</v>
      </c>
      <c r="AQ62" s="13">
        <f t="shared" si="33"/>
        <v>174.2311140263678</v>
      </c>
      <c r="AR62" s="13">
        <f t="shared" si="34"/>
        <v>145.78324934703826</v>
      </c>
      <c r="AS62" s="52">
        <f t="shared" si="35"/>
        <v>112.16737722341047</v>
      </c>
      <c r="AU62" s="45"/>
      <c r="AV62" s="6"/>
      <c r="AW62" s="6"/>
      <c r="AX62" s="6">
        <v>140</v>
      </c>
      <c r="AY62" s="51">
        <f t="shared" si="36"/>
        <v>61.31932677326648</v>
      </c>
      <c r="AZ62" s="51">
        <f t="shared" si="37"/>
        <v>52.17092742772148</v>
      </c>
      <c r="BA62" s="51">
        <f t="shared" si="38"/>
        <v>43.06128647775046</v>
      </c>
      <c r="BB62" s="11">
        <f t="shared" si="39"/>
        <v>35</v>
      </c>
      <c r="BC62" s="12">
        <f t="shared" si="40"/>
        <v>126</v>
      </c>
      <c r="BD62" s="13">
        <f t="shared" si="41"/>
        <v>55.18739409593984</v>
      </c>
      <c r="BE62" s="13">
        <f t="shared" si="42"/>
        <v>46.953834684949335</v>
      </c>
      <c r="BF62" s="13">
        <f t="shared" si="43"/>
        <v>38.75515782997541</v>
      </c>
      <c r="BG62" s="14">
        <f t="shared" si="44"/>
        <v>46.666666666666664</v>
      </c>
      <c r="BH62" s="15">
        <f t="shared" si="45"/>
        <v>168</v>
      </c>
      <c r="BI62" s="13">
        <f t="shared" si="46"/>
        <v>73.58319212791979</v>
      </c>
      <c r="BJ62" s="13">
        <f t="shared" si="47"/>
        <v>62.60511291326577</v>
      </c>
      <c r="BK62" s="13">
        <f t="shared" si="48"/>
        <v>51.673543773300544</v>
      </c>
      <c r="BL62" s="15">
        <f t="shared" si="49"/>
        <v>58.33333333333333</v>
      </c>
      <c r="BM62" s="15">
        <f t="shared" si="50"/>
        <v>210</v>
      </c>
      <c r="BN62" s="13">
        <f t="shared" si="51"/>
        <v>91.97899015989972</v>
      </c>
      <c r="BO62" s="13">
        <f t="shared" si="52"/>
        <v>78.25639114158223</v>
      </c>
      <c r="BP62" s="52">
        <f t="shared" si="53"/>
        <v>64.59192971662569</v>
      </c>
    </row>
    <row r="63" spans="1:68" ht="12.75">
      <c r="A63" s="45"/>
      <c r="B63" s="6"/>
      <c r="C63" s="6"/>
      <c r="D63" s="50">
        <v>145</v>
      </c>
      <c r="E63" s="51">
        <f t="shared" si="0"/>
        <v>88.44533117120535</v>
      </c>
      <c r="F63" s="51">
        <f t="shared" si="1"/>
        <v>72.84171698370304</v>
      </c>
      <c r="G63" s="51">
        <f t="shared" si="2"/>
        <v>63.28315341907506</v>
      </c>
      <c r="H63" s="11">
        <f t="shared" si="3"/>
        <v>36.25</v>
      </c>
      <c r="I63" s="12">
        <f t="shared" si="4"/>
        <v>130.5</v>
      </c>
      <c r="J63" s="13">
        <f t="shared" si="5"/>
        <v>79.60079805408482</v>
      </c>
      <c r="K63" s="13">
        <f t="shared" si="6"/>
        <v>65.55754528533274</v>
      </c>
      <c r="L63" s="13">
        <f t="shared" si="7"/>
        <v>56.95483807716756</v>
      </c>
      <c r="M63" s="14">
        <f t="shared" si="8"/>
        <v>48.33333333333333</v>
      </c>
      <c r="N63" s="15">
        <f t="shared" si="9"/>
        <v>174</v>
      </c>
      <c r="O63" s="13">
        <f t="shared" si="10"/>
        <v>106.13439740544642</v>
      </c>
      <c r="P63" s="13">
        <f t="shared" si="11"/>
        <v>87.41006038044364</v>
      </c>
      <c r="Q63" s="13">
        <f t="shared" si="12"/>
        <v>75.93978410289007</v>
      </c>
      <c r="R63" s="15">
        <f t="shared" si="13"/>
        <v>60.416666666666664</v>
      </c>
      <c r="S63" s="15">
        <f t="shared" si="14"/>
        <v>217.5</v>
      </c>
      <c r="T63" s="13">
        <f t="shared" si="15"/>
        <v>132.667996756808</v>
      </c>
      <c r="U63" s="13">
        <f t="shared" si="16"/>
        <v>109.26257547555456</v>
      </c>
      <c r="V63" s="52">
        <f t="shared" si="17"/>
        <v>94.9247301286126</v>
      </c>
      <c r="X63" s="45"/>
      <c r="Y63" s="6"/>
      <c r="Z63" s="6"/>
      <c r="AA63" s="50">
        <v>145</v>
      </c>
      <c r="AB63" s="51">
        <f t="shared" si="18"/>
        <v>119.20981930581404</v>
      </c>
      <c r="AC63" s="51">
        <f t="shared" si="19"/>
        <v>99.74564479823502</v>
      </c>
      <c r="AD63" s="51">
        <f t="shared" si="20"/>
        <v>76.74549316596938</v>
      </c>
      <c r="AE63" s="11">
        <f t="shared" si="21"/>
        <v>36.25</v>
      </c>
      <c r="AF63" s="12">
        <f t="shared" si="22"/>
        <v>130.5</v>
      </c>
      <c r="AG63" s="13">
        <f t="shared" si="23"/>
        <v>107.28883737523263</v>
      </c>
      <c r="AH63" s="13">
        <f t="shared" si="24"/>
        <v>89.77108031841152</v>
      </c>
      <c r="AI63" s="13">
        <f t="shared" si="25"/>
        <v>69.07094384937244</v>
      </c>
      <c r="AJ63" s="14">
        <f t="shared" si="26"/>
        <v>48.33333333333333</v>
      </c>
      <c r="AK63" s="15">
        <f t="shared" si="27"/>
        <v>174</v>
      </c>
      <c r="AL63" s="13">
        <f t="shared" si="28"/>
        <v>143.05178316697686</v>
      </c>
      <c r="AM63" s="13">
        <f t="shared" si="29"/>
        <v>119.69477375788202</v>
      </c>
      <c r="AN63" s="13">
        <f t="shared" si="30"/>
        <v>92.09459179916325</v>
      </c>
      <c r="AO63" s="15">
        <f t="shared" si="31"/>
        <v>60.416666666666664</v>
      </c>
      <c r="AP63" s="15">
        <f t="shared" si="32"/>
        <v>217.5</v>
      </c>
      <c r="AQ63" s="13">
        <f t="shared" si="33"/>
        <v>178.81472895872108</v>
      </c>
      <c r="AR63" s="13">
        <f t="shared" si="34"/>
        <v>149.61846719735252</v>
      </c>
      <c r="AS63" s="52">
        <f t="shared" si="35"/>
        <v>115.11823974895407</v>
      </c>
      <c r="AU63" s="45"/>
      <c r="AV63" s="6"/>
      <c r="AW63" s="6"/>
      <c r="AX63" s="50">
        <v>145</v>
      </c>
      <c r="AY63" s="51">
        <f t="shared" si="36"/>
        <v>62.712044075676474</v>
      </c>
      <c r="AZ63" s="51">
        <f t="shared" si="37"/>
        <v>53.355861397724574</v>
      </c>
      <c r="BA63" s="51">
        <f t="shared" si="38"/>
        <v>44.039317416729105</v>
      </c>
      <c r="BB63" s="11">
        <f t="shared" si="39"/>
        <v>36.25</v>
      </c>
      <c r="BC63" s="12">
        <f t="shared" si="40"/>
        <v>130.5</v>
      </c>
      <c r="BD63" s="13">
        <f t="shared" si="41"/>
        <v>56.44083966810883</v>
      </c>
      <c r="BE63" s="13">
        <f t="shared" si="42"/>
        <v>48.020275257952115</v>
      </c>
      <c r="BF63" s="13">
        <f t="shared" si="43"/>
        <v>39.6353856750562</v>
      </c>
      <c r="BG63" s="14">
        <f t="shared" si="44"/>
        <v>48.33333333333333</v>
      </c>
      <c r="BH63" s="15">
        <f t="shared" si="45"/>
        <v>174</v>
      </c>
      <c r="BI63" s="13">
        <f t="shared" si="46"/>
        <v>75.25445289081176</v>
      </c>
      <c r="BJ63" s="13">
        <f t="shared" si="47"/>
        <v>64.02703367726949</v>
      </c>
      <c r="BK63" s="13">
        <f t="shared" si="48"/>
        <v>52.847180900074925</v>
      </c>
      <c r="BL63" s="15">
        <f t="shared" si="49"/>
        <v>60.416666666666664</v>
      </c>
      <c r="BM63" s="15">
        <f t="shared" si="50"/>
        <v>217.5</v>
      </c>
      <c r="BN63" s="13">
        <f t="shared" si="51"/>
        <v>94.0680661135147</v>
      </c>
      <c r="BO63" s="13">
        <f t="shared" si="52"/>
        <v>80.03379209658685</v>
      </c>
      <c r="BP63" s="52">
        <f t="shared" si="53"/>
        <v>66.05897612509365</v>
      </c>
    </row>
    <row r="64" spans="1:68" ht="12.75">
      <c r="A64" s="45"/>
      <c r="B64" s="6"/>
      <c r="C64" s="6"/>
      <c r="D64" s="6">
        <v>150</v>
      </c>
      <c r="E64" s="51">
        <f t="shared" si="0"/>
        <v>90.17105871078863</v>
      </c>
      <c r="F64" s="51">
        <f t="shared" si="1"/>
        <v>74.2629899368901</v>
      </c>
      <c r="G64" s="51">
        <f t="shared" si="2"/>
        <v>64.51792159960878</v>
      </c>
      <c r="H64" s="11">
        <f t="shared" si="3"/>
        <v>37.5</v>
      </c>
      <c r="I64" s="12">
        <f t="shared" si="4"/>
        <v>135</v>
      </c>
      <c r="J64" s="13">
        <f t="shared" si="5"/>
        <v>81.15395283970977</v>
      </c>
      <c r="K64" s="13">
        <f t="shared" si="6"/>
        <v>66.83669094320109</v>
      </c>
      <c r="L64" s="13">
        <f t="shared" si="7"/>
        <v>58.06612943964791</v>
      </c>
      <c r="M64" s="14">
        <f t="shared" si="8"/>
        <v>50</v>
      </c>
      <c r="N64" s="15">
        <f t="shared" si="9"/>
        <v>180</v>
      </c>
      <c r="O64" s="13">
        <f t="shared" si="10"/>
        <v>108.20527045294635</v>
      </c>
      <c r="P64" s="13">
        <f t="shared" si="11"/>
        <v>89.11558792426811</v>
      </c>
      <c r="Q64" s="13">
        <f t="shared" si="12"/>
        <v>77.42150591953053</v>
      </c>
      <c r="R64" s="15">
        <f t="shared" si="13"/>
        <v>62.5</v>
      </c>
      <c r="S64" s="15">
        <f t="shared" si="14"/>
        <v>225</v>
      </c>
      <c r="T64" s="13">
        <f t="shared" si="15"/>
        <v>135.25658806618296</v>
      </c>
      <c r="U64" s="13">
        <f t="shared" si="16"/>
        <v>111.39448490533513</v>
      </c>
      <c r="V64" s="52">
        <f t="shared" si="17"/>
        <v>96.77688239941318</v>
      </c>
      <c r="X64" s="45"/>
      <c r="Y64" s="6"/>
      <c r="Z64" s="6"/>
      <c r="AA64" s="6">
        <v>150</v>
      </c>
      <c r="AB64" s="51">
        <f t="shared" si="18"/>
        <v>122.23828263625381</v>
      </c>
      <c r="AC64" s="51">
        <f t="shared" si="19"/>
        <v>102.2796309195259</v>
      </c>
      <c r="AD64" s="51">
        <f t="shared" si="20"/>
        <v>78.69517242211703</v>
      </c>
      <c r="AE64" s="11">
        <f t="shared" si="21"/>
        <v>37.5</v>
      </c>
      <c r="AF64" s="12">
        <f t="shared" si="22"/>
        <v>135</v>
      </c>
      <c r="AG64" s="13">
        <f t="shared" si="23"/>
        <v>110.01445437262844</v>
      </c>
      <c r="AH64" s="13">
        <f t="shared" si="24"/>
        <v>92.05166782757331</v>
      </c>
      <c r="AI64" s="13">
        <f t="shared" si="25"/>
        <v>70.82565517990533</v>
      </c>
      <c r="AJ64" s="14">
        <f t="shared" si="26"/>
        <v>50</v>
      </c>
      <c r="AK64" s="15">
        <f t="shared" si="27"/>
        <v>180</v>
      </c>
      <c r="AL64" s="13">
        <f t="shared" si="28"/>
        <v>146.68593916350457</v>
      </c>
      <c r="AM64" s="13">
        <f t="shared" si="29"/>
        <v>122.73555710343109</v>
      </c>
      <c r="AN64" s="13">
        <f t="shared" si="30"/>
        <v>94.43420690654044</v>
      </c>
      <c r="AO64" s="15">
        <f t="shared" si="31"/>
        <v>62.5</v>
      </c>
      <c r="AP64" s="15">
        <f t="shared" si="32"/>
        <v>225</v>
      </c>
      <c r="AQ64" s="13">
        <f t="shared" si="33"/>
        <v>183.35742395438072</v>
      </c>
      <c r="AR64" s="13">
        <f t="shared" si="34"/>
        <v>153.41944637928884</v>
      </c>
      <c r="AS64" s="52">
        <f t="shared" si="35"/>
        <v>118.04275863317554</v>
      </c>
      <c r="AU64" s="45"/>
      <c r="AV64" s="6"/>
      <c r="AW64" s="6"/>
      <c r="AX64" s="6">
        <v>150</v>
      </c>
      <c r="AY64" s="51">
        <f t="shared" si="36"/>
        <v>64.08757534615599</v>
      </c>
      <c r="AZ64" s="51">
        <f t="shared" si="37"/>
        <v>54.52617336726229</v>
      </c>
      <c r="BA64" s="51">
        <f t="shared" si="38"/>
        <v>45.00527952385136</v>
      </c>
      <c r="BB64" s="11">
        <f t="shared" si="39"/>
        <v>37.5</v>
      </c>
      <c r="BC64" s="12">
        <f t="shared" si="40"/>
        <v>135</v>
      </c>
      <c r="BD64" s="13">
        <f t="shared" si="41"/>
        <v>57.67881781154039</v>
      </c>
      <c r="BE64" s="13">
        <f t="shared" si="42"/>
        <v>49.07355603053606</v>
      </c>
      <c r="BF64" s="13">
        <f t="shared" si="43"/>
        <v>40.50475157146622</v>
      </c>
      <c r="BG64" s="14">
        <f t="shared" si="44"/>
        <v>50</v>
      </c>
      <c r="BH64" s="15">
        <f t="shared" si="45"/>
        <v>180</v>
      </c>
      <c r="BI64" s="13">
        <f t="shared" si="46"/>
        <v>76.90509041538718</v>
      </c>
      <c r="BJ64" s="13">
        <f t="shared" si="47"/>
        <v>65.43140804071474</v>
      </c>
      <c r="BK64" s="13">
        <f t="shared" si="48"/>
        <v>54.006335428621625</v>
      </c>
      <c r="BL64" s="15">
        <f t="shared" si="49"/>
        <v>62.5</v>
      </c>
      <c r="BM64" s="15">
        <f t="shared" si="50"/>
        <v>225</v>
      </c>
      <c r="BN64" s="13">
        <f t="shared" si="51"/>
        <v>96.13136301923397</v>
      </c>
      <c r="BO64" s="13">
        <f t="shared" si="52"/>
        <v>81.78926005089343</v>
      </c>
      <c r="BP64" s="52">
        <f t="shared" si="53"/>
        <v>67.50791928577704</v>
      </c>
    </row>
    <row r="65" spans="1:68" ht="12.75">
      <c r="A65" s="45"/>
      <c r="B65" s="6"/>
      <c r="C65" s="6"/>
      <c r="D65" s="50">
        <v>155</v>
      </c>
      <c r="E65" s="51">
        <f t="shared" si="0"/>
        <v>91.87222175985218</v>
      </c>
      <c r="F65" s="51">
        <f t="shared" si="1"/>
        <v>75.66403209165523</v>
      </c>
      <c r="G65" s="51">
        <f t="shared" si="2"/>
        <v>65.73511374303985</v>
      </c>
      <c r="H65" s="11">
        <f t="shared" si="3"/>
        <v>38.75</v>
      </c>
      <c r="I65" s="12">
        <f t="shared" si="4"/>
        <v>139.5</v>
      </c>
      <c r="J65" s="13">
        <f t="shared" si="5"/>
        <v>82.68499958386697</v>
      </c>
      <c r="K65" s="13">
        <f t="shared" si="6"/>
        <v>68.09762888248972</v>
      </c>
      <c r="L65" s="13">
        <f t="shared" si="7"/>
        <v>59.16160236873586</v>
      </c>
      <c r="M65" s="14">
        <f t="shared" si="8"/>
        <v>51.666666666666664</v>
      </c>
      <c r="N65" s="15">
        <f t="shared" si="9"/>
        <v>186</v>
      </c>
      <c r="O65" s="13">
        <f t="shared" si="10"/>
        <v>110.24666611182262</v>
      </c>
      <c r="P65" s="13">
        <f t="shared" si="11"/>
        <v>90.79683850998627</v>
      </c>
      <c r="Q65" s="13">
        <f t="shared" si="12"/>
        <v>78.88213649164781</v>
      </c>
      <c r="R65" s="15">
        <f t="shared" si="13"/>
        <v>64.58333333333333</v>
      </c>
      <c r="S65" s="15">
        <f t="shared" si="14"/>
        <v>232.5</v>
      </c>
      <c r="T65" s="13">
        <f t="shared" si="15"/>
        <v>137.80833263977826</v>
      </c>
      <c r="U65" s="13">
        <f t="shared" si="16"/>
        <v>113.49604813748284</v>
      </c>
      <c r="V65" s="52">
        <f t="shared" si="17"/>
        <v>98.60267061455977</v>
      </c>
      <c r="X65" s="45"/>
      <c r="Y65" s="6"/>
      <c r="Z65" s="6"/>
      <c r="AA65" s="50">
        <v>155</v>
      </c>
      <c r="AB65" s="51">
        <f t="shared" si="18"/>
        <v>125.24060724463395</v>
      </c>
      <c r="AC65" s="51">
        <f t="shared" si="19"/>
        <v>104.79174616053842</v>
      </c>
      <c r="AD65" s="51">
        <f t="shared" si="20"/>
        <v>80.62802396116153</v>
      </c>
      <c r="AE65" s="11">
        <f t="shared" si="21"/>
        <v>38.75</v>
      </c>
      <c r="AF65" s="12">
        <f t="shared" si="22"/>
        <v>139.5</v>
      </c>
      <c r="AG65" s="13">
        <f t="shared" si="23"/>
        <v>112.71654652017055</v>
      </c>
      <c r="AH65" s="13">
        <f t="shared" si="24"/>
        <v>94.31257154448458</v>
      </c>
      <c r="AI65" s="13">
        <f t="shared" si="25"/>
        <v>72.56522156504538</v>
      </c>
      <c r="AJ65" s="14">
        <f t="shared" si="26"/>
        <v>51.666666666666664</v>
      </c>
      <c r="AK65" s="15">
        <f t="shared" si="27"/>
        <v>186</v>
      </c>
      <c r="AL65" s="13">
        <f t="shared" si="28"/>
        <v>150.28872869356073</v>
      </c>
      <c r="AM65" s="13">
        <f t="shared" si="29"/>
        <v>125.7500953926461</v>
      </c>
      <c r="AN65" s="13">
        <f t="shared" si="30"/>
        <v>96.75362875339384</v>
      </c>
      <c r="AO65" s="15">
        <f t="shared" si="31"/>
        <v>64.58333333333333</v>
      </c>
      <c r="AP65" s="15">
        <f t="shared" si="32"/>
        <v>232.5</v>
      </c>
      <c r="AQ65" s="13">
        <f t="shared" si="33"/>
        <v>187.86091086695092</v>
      </c>
      <c r="AR65" s="13">
        <f t="shared" si="34"/>
        <v>157.18761924080763</v>
      </c>
      <c r="AS65" s="52">
        <f t="shared" si="35"/>
        <v>120.9420359417423</v>
      </c>
      <c r="AU65" s="45"/>
      <c r="AV65" s="6"/>
      <c r="AW65" s="6"/>
      <c r="AX65" s="50">
        <v>155</v>
      </c>
      <c r="AY65" s="51">
        <f t="shared" si="36"/>
        <v>65.4466953189549</v>
      </c>
      <c r="AZ65" s="51">
        <f t="shared" si="37"/>
        <v>55.68252248584673</v>
      </c>
      <c r="BA65" s="51">
        <f t="shared" si="38"/>
        <v>45.95971685358149</v>
      </c>
      <c r="BB65" s="11">
        <f t="shared" si="39"/>
        <v>38.75</v>
      </c>
      <c r="BC65" s="12">
        <f t="shared" si="40"/>
        <v>139.5</v>
      </c>
      <c r="BD65" s="13">
        <f t="shared" si="41"/>
        <v>58.90202578705941</v>
      </c>
      <c r="BE65" s="13">
        <f t="shared" si="42"/>
        <v>50.11427023726206</v>
      </c>
      <c r="BF65" s="13">
        <f t="shared" si="43"/>
        <v>41.36374516822334</v>
      </c>
      <c r="BG65" s="14">
        <f t="shared" si="44"/>
        <v>51.666666666666664</v>
      </c>
      <c r="BH65" s="15">
        <f t="shared" si="45"/>
        <v>186</v>
      </c>
      <c r="BI65" s="13">
        <f t="shared" si="46"/>
        <v>78.53603438274587</v>
      </c>
      <c r="BJ65" s="13">
        <f t="shared" si="47"/>
        <v>66.81902698301609</v>
      </c>
      <c r="BK65" s="13">
        <f t="shared" si="48"/>
        <v>55.15166022429779</v>
      </c>
      <c r="BL65" s="15">
        <f t="shared" si="49"/>
        <v>64.58333333333333</v>
      </c>
      <c r="BM65" s="15">
        <f t="shared" si="50"/>
        <v>232.5</v>
      </c>
      <c r="BN65" s="13">
        <f t="shared" si="51"/>
        <v>98.17004297843233</v>
      </c>
      <c r="BO65" s="13">
        <f t="shared" si="52"/>
        <v>83.5237837287701</v>
      </c>
      <c r="BP65" s="52">
        <f t="shared" si="53"/>
        <v>68.93957528037222</v>
      </c>
    </row>
    <row r="66" spans="1:68" ht="15">
      <c r="A66" s="46"/>
      <c r="B66" s="47"/>
      <c r="C66" s="47"/>
      <c r="D66" s="6">
        <v>160</v>
      </c>
      <c r="E66" s="51">
        <f t="shared" si="0"/>
        <v>93.54994602601063</v>
      </c>
      <c r="F66" s="51">
        <f t="shared" si="1"/>
        <v>77.04577055714464</v>
      </c>
      <c r="G66" s="51">
        <f t="shared" si="2"/>
        <v>66.93553529977179</v>
      </c>
      <c r="H66" s="11">
        <f t="shared" si="3"/>
        <v>40</v>
      </c>
      <c r="I66" s="12">
        <f t="shared" si="4"/>
        <v>144</v>
      </c>
      <c r="J66" s="13">
        <f t="shared" si="5"/>
        <v>84.19495142340956</v>
      </c>
      <c r="K66" s="13">
        <f t="shared" si="6"/>
        <v>69.34119350143017</v>
      </c>
      <c r="L66" s="13">
        <f t="shared" si="7"/>
        <v>60.241981769794606</v>
      </c>
      <c r="M66" s="14">
        <f t="shared" si="8"/>
        <v>53.33333333333333</v>
      </c>
      <c r="N66" s="15">
        <f t="shared" si="9"/>
        <v>192</v>
      </c>
      <c r="O66" s="13">
        <f t="shared" si="10"/>
        <v>112.25993523121276</v>
      </c>
      <c r="P66" s="13">
        <f t="shared" si="11"/>
        <v>92.45492466857355</v>
      </c>
      <c r="Q66" s="13">
        <f t="shared" si="12"/>
        <v>80.32264235972615</v>
      </c>
      <c r="R66" s="15">
        <f t="shared" si="13"/>
        <v>66.66666666666667</v>
      </c>
      <c r="S66" s="15">
        <f t="shared" si="14"/>
        <v>240</v>
      </c>
      <c r="T66" s="13">
        <f t="shared" si="15"/>
        <v>140.32491903901595</v>
      </c>
      <c r="U66" s="13">
        <f t="shared" si="16"/>
        <v>115.56865583571695</v>
      </c>
      <c r="V66" s="52">
        <f t="shared" si="17"/>
        <v>100.40330294965767</v>
      </c>
      <c r="X66" s="46"/>
      <c r="Y66" s="47"/>
      <c r="Z66" s="47"/>
      <c r="AA66" s="6">
        <v>160</v>
      </c>
      <c r="AB66" s="51">
        <f t="shared" si="18"/>
        <v>128.21785147236238</v>
      </c>
      <c r="AC66" s="51">
        <f t="shared" si="19"/>
        <v>107.28287606028917</v>
      </c>
      <c r="AD66" s="51">
        <f t="shared" si="20"/>
        <v>82.54472912742304</v>
      </c>
      <c r="AE66" s="11">
        <f t="shared" si="21"/>
        <v>40</v>
      </c>
      <c r="AF66" s="12">
        <f t="shared" si="22"/>
        <v>144</v>
      </c>
      <c r="AG66" s="13">
        <f t="shared" si="23"/>
        <v>115.39606632512614</v>
      </c>
      <c r="AH66" s="13">
        <f t="shared" si="24"/>
        <v>96.55458845426026</v>
      </c>
      <c r="AI66" s="13">
        <f t="shared" si="25"/>
        <v>74.29025621468074</v>
      </c>
      <c r="AJ66" s="14">
        <f t="shared" si="26"/>
        <v>53.33333333333333</v>
      </c>
      <c r="AK66" s="15">
        <f t="shared" si="27"/>
        <v>192</v>
      </c>
      <c r="AL66" s="13">
        <f t="shared" si="28"/>
        <v>153.86142176683487</v>
      </c>
      <c r="AM66" s="13">
        <f t="shared" si="29"/>
        <v>128.739451272347</v>
      </c>
      <c r="AN66" s="13">
        <f t="shared" si="30"/>
        <v>99.05367495290764</v>
      </c>
      <c r="AO66" s="15">
        <f t="shared" si="31"/>
        <v>66.66666666666667</v>
      </c>
      <c r="AP66" s="15">
        <f t="shared" si="32"/>
        <v>240</v>
      </c>
      <c r="AQ66" s="13">
        <f t="shared" si="33"/>
        <v>192.32677720854358</v>
      </c>
      <c r="AR66" s="13">
        <f t="shared" si="34"/>
        <v>160.92431409043377</v>
      </c>
      <c r="AS66" s="52">
        <f t="shared" si="35"/>
        <v>123.81709369113456</v>
      </c>
      <c r="AU66" s="46"/>
      <c r="AV66" s="47"/>
      <c r="AW66" s="47"/>
      <c r="AX66" s="6">
        <v>160</v>
      </c>
      <c r="AY66" s="51">
        <f t="shared" si="36"/>
        <v>66.79012006020534</v>
      </c>
      <c r="AZ66" s="51">
        <f t="shared" si="37"/>
        <v>56.825517987730464</v>
      </c>
      <c r="BA66" s="51">
        <f t="shared" si="38"/>
        <v>46.90313226089976</v>
      </c>
      <c r="BB66" s="11">
        <f t="shared" si="39"/>
        <v>40</v>
      </c>
      <c r="BC66" s="12">
        <f t="shared" si="40"/>
        <v>144</v>
      </c>
      <c r="BD66" s="13">
        <f t="shared" si="41"/>
        <v>60.111108054184804</v>
      </c>
      <c r="BE66" s="13">
        <f t="shared" si="42"/>
        <v>51.142966188957416</v>
      </c>
      <c r="BF66" s="13">
        <f t="shared" si="43"/>
        <v>42.21281903480978</v>
      </c>
      <c r="BG66" s="14">
        <f t="shared" si="44"/>
        <v>53.33333333333333</v>
      </c>
      <c r="BH66" s="15">
        <f t="shared" si="45"/>
        <v>192</v>
      </c>
      <c r="BI66" s="13">
        <f t="shared" si="46"/>
        <v>80.14814407224641</v>
      </c>
      <c r="BJ66" s="13">
        <f t="shared" si="47"/>
        <v>68.19062158527656</v>
      </c>
      <c r="BK66" s="13">
        <f t="shared" si="48"/>
        <v>56.28375871307971</v>
      </c>
      <c r="BL66" s="15">
        <f t="shared" si="49"/>
        <v>66.66666666666667</v>
      </c>
      <c r="BM66" s="15">
        <f t="shared" si="50"/>
        <v>240</v>
      </c>
      <c r="BN66" s="13">
        <f t="shared" si="51"/>
        <v>100.18518009030801</v>
      </c>
      <c r="BO66" s="13">
        <f t="shared" si="52"/>
        <v>85.2382769815957</v>
      </c>
      <c r="BP66" s="52">
        <f t="shared" si="53"/>
        <v>70.35469839134964</v>
      </c>
    </row>
    <row r="67" spans="1:68" ht="12.75">
      <c r="A67" s="49"/>
      <c r="B67" s="50"/>
      <c r="C67" s="50"/>
      <c r="D67" s="50">
        <v>165</v>
      </c>
      <c r="E67" s="51">
        <f t="shared" si="0"/>
        <v>95.20527226574913</v>
      </c>
      <c r="F67" s="51">
        <f t="shared" si="1"/>
        <v>78.40906247853873</v>
      </c>
      <c r="G67" s="51">
        <f t="shared" si="2"/>
        <v>68.11993093717652</v>
      </c>
      <c r="H67" s="11">
        <f t="shared" si="3"/>
        <v>41.25</v>
      </c>
      <c r="I67" s="12">
        <f t="shared" si="4"/>
        <v>148.5</v>
      </c>
      <c r="J67" s="13">
        <f t="shared" si="5"/>
        <v>85.68474503917422</v>
      </c>
      <c r="K67" s="13">
        <f t="shared" si="6"/>
        <v>70.56815623068486</v>
      </c>
      <c r="L67" s="13">
        <f t="shared" si="7"/>
        <v>61.307937843458866</v>
      </c>
      <c r="M67" s="14">
        <f t="shared" si="8"/>
        <v>55</v>
      </c>
      <c r="N67" s="15">
        <f t="shared" si="9"/>
        <v>198</v>
      </c>
      <c r="O67" s="13">
        <f t="shared" si="10"/>
        <v>114.24632671889896</v>
      </c>
      <c r="P67" s="13">
        <f t="shared" si="11"/>
        <v>94.09087497424647</v>
      </c>
      <c r="Q67" s="13">
        <f t="shared" si="12"/>
        <v>81.74391712461183</v>
      </c>
      <c r="R67" s="15">
        <f t="shared" si="13"/>
        <v>68.75</v>
      </c>
      <c r="S67" s="15">
        <f t="shared" si="14"/>
        <v>247.5</v>
      </c>
      <c r="T67" s="13">
        <f t="shared" si="15"/>
        <v>142.80790839862368</v>
      </c>
      <c r="U67" s="13">
        <f t="shared" si="16"/>
        <v>117.61359371780809</v>
      </c>
      <c r="V67" s="52">
        <f t="shared" si="17"/>
        <v>102.17989640576478</v>
      </c>
      <c r="X67" s="49"/>
      <c r="Y67" s="50"/>
      <c r="Z67" s="50"/>
      <c r="AA67" s="50">
        <v>165</v>
      </c>
      <c r="AB67" s="51">
        <f t="shared" si="18"/>
        <v>131.17099918252512</v>
      </c>
      <c r="AC67" s="51">
        <f t="shared" si="19"/>
        <v>109.75384384004025</v>
      </c>
      <c r="AD67" s="51">
        <f t="shared" si="20"/>
        <v>84.44592131719544</v>
      </c>
      <c r="AE67" s="11">
        <f t="shared" si="21"/>
        <v>41.25</v>
      </c>
      <c r="AF67" s="12">
        <f t="shared" si="22"/>
        <v>148.5</v>
      </c>
      <c r="AG67" s="13">
        <f t="shared" si="23"/>
        <v>118.05389926427262</v>
      </c>
      <c r="AH67" s="13">
        <f t="shared" si="24"/>
        <v>98.77845945603623</v>
      </c>
      <c r="AI67" s="13">
        <f t="shared" si="25"/>
        <v>76.0013291854759</v>
      </c>
      <c r="AJ67" s="14">
        <f t="shared" si="26"/>
        <v>55</v>
      </c>
      <c r="AK67" s="15">
        <f t="shared" si="27"/>
        <v>198</v>
      </c>
      <c r="AL67" s="13">
        <f t="shared" si="28"/>
        <v>157.40519901903014</v>
      </c>
      <c r="AM67" s="13">
        <f t="shared" si="29"/>
        <v>131.7046126080483</v>
      </c>
      <c r="AN67" s="13">
        <f t="shared" si="30"/>
        <v>101.33510558063452</v>
      </c>
      <c r="AO67" s="15">
        <f t="shared" si="31"/>
        <v>68.75</v>
      </c>
      <c r="AP67" s="15">
        <f t="shared" si="32"/>
        <v>247.5</v>
      </c>
      <c r="AQ67" s="13">
        <f t="shared" si="33"/>
        <v>196.75649877378768</v>
      </c>
      <c r="AR67" s="13">
        <f t="shared" si="34"/>
        <v>164.63076576006037</v>
      </c>
      <c r="AS67" s="52">
        <f t="shared" si="35"/>
        <v>126.66888197579317</v>
      </c>
      <c r="AU67" s="49"/>
      <c r="AV67" s="50"/>
      <c r="AW67" s="50"/>
      <c r="AX67" s="50">
        <v>165</v>
      </c>
      <c r="AY67" s="51">
        <f t="shared" si="36"/>
        <v>68.11851309734529</v>
      </c>
      <c r="AZ67" s="51">
        <f t="shared" si="37"/>
        <v>57.955724406864434</v>
      </c>
      <c r="BA67" s="51">
        <f t="shared" si="38"/>
        <v>47.835991705668995</v>
      </c>
      <c r="BB67" s="11">
        <f t="shared" si="39"/>
        <v>41.25</v>
      </c>
      <c r="BC67" s="12">
        <f t="shared" si="40"/>
        <v>148.5</v>
      </c>
      <c r="BD67" s="13">
        <f t="shared" si="41"/>
        <v>61.30666178761076</v>
      </c>
      <c r="BE67" s="13">
        <f t="shared" si="42"/>
        <v>52.16015196617799</v>
      </c>
      <c r="BF67" s="13">
        <f t="shared" si="43"/>
        <v>43.05239253510209</v>
      </c>
      <c r="BG67" s="14">
        <f t="shared" si="44"/>
        <v>55</v>
      </c>
      <c r="BH67" s="15">
        <f t="shared" si="45"/>
        <v>198</v>
      </c>
      <c r="BI67" s="13">
        <f t="shared" si="46"/>
        <v>81.74221571681434</v>
      </c>
      <c r="BJ67" s="13">
        <f t="shared" si="47"/>
        <v>69.54686928823732</v>
      </c>
      <c r="BK67" s="13">
        <f t="shared" si="48"/>
        <v>57.4031900468028</v>
      </c>
      <c r="BL67" s="15">
        <f t="shared" si="49"/>
        <v>68.75</v>
      </c>
      <c r="BM67" s="15">
        <f t="shared" si="50"/>
        <v>247.5</v>
      </c>
      <c r="BN67" s="13">
        <f t="shared" si="51"/>
        <v>102.17776964601794</v>
      </c>
      <c r="BO67" s="13">
        <f t="shared" si="52"/>
        <v>86.93358661029666</v>
      </c>
      <c r="BP67" s="52">
        <f t="shared" si="53"/>
        <v>71.7539875585035</v>
      </c>
    </row>
    <row r="68" spans="1:68" ht="12.75">
      <c r="A68" s="45"/>
      <c r="B68" s="6"/>
      <c r="C68" s="6"/>
      <c r="D68" s="6">
        <v>170</v>
      </c>
      <c r="E68" s="51">
        <f t="shared" si="0"/>
        <v>96.83916506190764</v>
      </c>
      <c r="F68" s="51">
        <f t="shared" si="1"/>
        <v>79.75470226600369</v>
      </c>
      <c r="G68" s="51">
        <f t="shared" si="2"/>
        <v>69.28899081993585</v>
      </c>
      <c r="H68" s="11">
        <f t="shared" si="3"/>
        <v>42.5</v>
      </c>
      <c r="I68" s="12">
        <f t="shared" si="4"/>
        <v>153</v>
      </c>
      <c r="J68" s="13">
        <f t="shared" si="5"/>
        <v>87.15524855571688</v>
      </c>
      <c r="K68" s="13">
        <f t="shared" si="6"/>
        <v>71.77923203940333</v>
      </c>
      <c r="L68" s="13">
        <f t="shared" si="7"/>
        <v>62.36009173794226</v>
      </c>
      <c r="M68" s="14">
        <f t="shared" si="8"/>
        <v>56.666666666666664</v>
      </c>
      <c r="N68" s="15">
        <f t="shared" si="9"/>
        <v>204</v>
      </c>
      <c r="O68" s="13">
        <f t="shared" si="10"/>
        <v>116.20699807428916</v>
      </c>
      <c r="P68" s="13">
        <f t="shared" si="11"/>
        <v>95.70564271920442</v>
      </c>
      <c r="Q68" s="13">
        <f t="shared" si="12"/>
        <v>83.14678898392302</v>
      </c>
      <c r="R68" s="15">
        <f t="shared" si="13"/>
        <v>70.83333333333333</v>
      </c>
      <c r="S68" s="15">
        <f t="shared" si="14"/>
        <v>255</v>
      </c>
      <c r="T68" s="13">
        <f t="shared" si="15"/>
        <v>145.25874759286145</v>
      </c>
      <c r="U68" s="13">
        <f t="shared" si="16"/>
        <v>119.63205339900554</v>
      </c>
      <c r="V68" s="52">
        <f t="shared" si="17"/>
        <v>103.93348622990378</v>
      </c>
      <c r="X68" s="45"/>
      <c r="Y68" s="6"/>
      <c r="Z68" s="6"/>
      <c r="AA68" s="6">
        <v>170</v>
      </c>
      <c r="AB68" s="51">
        <f t="shared" si="18"/>
        <v>134.10096709291807</v>
      </c>
      <c r="AC68" s="51">
        <f t="shared" si="19"/>
        <v>112.20541653901863</v>
      </c>
      <c r="AD68" s="51">
        <f t="shared" si="20"/>
        <v>86.33219069964223</v>
      </c>
      <c r="AE68" s="11">
        <f t="shared" si="21"/>
        <v>42.5</v>
      </c>
      <c r="AF68" s="12">
        <f t="shared" si="22"/>
        <v>153</v>
      </c>
      <c r="AG68" s="13">
        <f t="shared" si="23"/>
        <v>120.69087038362626</v>
      </c>
      <c r="AH68" s="13">
        <f t="shared" si="24"/>
        <v>100.98487488511677</v>
      </c>
      <c r="AI68" s="13">
        <f t="shared" si="25"/>
        <v>77.698971629678</v>
      </c>
      <c r="AJ68" s="14">
        <f t="shared" si="26"/>
        <v>56.666666666666664</v>
      </c>
      <c r="AK68" s="15">
        <f t="shared" si="27"/>
        <v>204</v>
      </c>
      <c r="AL68" s="13">
        <f t="shared" si="28"/>
        <v>160.92116051150168</v>
      </c>
      <c r="AM68" s="13">
        <f t="shared" si="29"/>
        <v>134.64649984682234</v>
      </c>
      <c r="AN68" s="13">
        <f t="shared" si="30"/>
        <v>103.59862883957067</v>
      </c>
      <c r="AO68" s="15">
        <f t="shared" si="31"/>
        <v>70.83333333333333</v>
      </c>
      <c r="AP68" s="15">
        <f t="shared" si="32"/>
        <v>255</v>
      </c>
      <c r="AQ68" s="13">
        <f t="shared" si="33"/>
        <v>201.15145063937712</v>
      </c>
      <c r="AR68" s="13">
        <f t="shared" si="34"/>
        <v>168.30812480852794</v>
      </c>
      <c r="AS68" s="52">
        <f t="shared" si="35"/>
        <v>129.49828604946333</v>
      </c>
      <c r="AU68" s="45"/>
      <c r="AV68" s="6"/>
      <c r="AW68" s="6"/>
      <c r="AX68" s="6">
        <v>170</v>
      </c>
      <c r="AY68" s="51">
        <f t="shared" si="36"/>
        <v>69.43249074253232</v>
      </c>
      <c r="AZ68" s="51">
        <f t="shared" si="37"/>
        <v>59.07366610609698</v>
      </c>
      <c r="BA68" s="51">
        <f t="shared" si="38"/>
        <v>48.75872799098364</v>
      </c>
      <c r="BB68" s="11">
        <f t="shared" si="39"/>
        <v>42.5</v>
      </c>
      <c r="BC68" s="12">
        <f t="shared" si="40"/>
        <v>153</v>
      </c>
      <c r="BD68" s="13">
        <f t="shared" si="41"/>
        <v>62.48924166827909</v>
      </c>
      <c r="BE68" s="13">
        <f t="shared" si="42"/>
        <v>53.16629949548728</v>
      </c>
      <c r="BF68" s="13">
        <f t="shared" si="43"/>
        <v>43.88285519188528</v>
      </c>
      <c r="BG68" s="14">
        <f t="shared" si="44"/>
        <v>56.666666666666664</v>
      </c>
      <c r="BH68" s="15">
        <f t="shared" si="45"/>
        <v>204</v>
      </c>
      <c r="BI68" s="13">
        <f t="shared" si="46"/>
        <v>83.31898889103879</v>
      </c>
      <c r="BJ68" s="13">
        <f t="shared" si="47"/>
        <v>70.88839932731638</v>
      </c>
      <c r="BK68" s="13">
        <f t="shared" si="48"/>
        <v>58.510473589180364</v>
      </c>
      <c r="BL68" s="15">
        <f t="shared" si="49"/>
        <v>70.83333333333333</v>
      </c>
      <c r="BM68" s="15">
        <f t="shared" si="50"/>
        <v>255</v>
      </c>
      <c r="BN68" s="13">
        <f t="shared" si="51"/>
        <v>104.14873611379848</v>
      </c>
      <c r="BO68" s="13">
        <f t="shared" si="52"/>
        <v>88.61049915914548</v>
      </c>
      <c r="BP68" s="52">
        <f t="shared" si="53"/>
        <v>73.13809198647546</v>
      </c>
    </row>
    <row r="69" spans="1:68" ht="12.75">
      <c r="A69" s="45"/>
      <c r="B69" s="6"/>
      <c r="C69" s="6"/>
      <c r="D69" s="50">
        <v>175</v>
      </c>
      <c r="E69" s="51">
        <f t="shared" si="0"/>
        <v>98.45252046395795</v>
      </c>
      <c r="F69" s="51">
        <f t="shared" si="1"/>
        <v>81.08342788706325</v>
      </c>
      <c r="G69" s="51">
        <f t="shared" si="2"/>
        <v>70.44335607670459</v>
      </c>
      <c r="H69" s="11">
        <f t="shared" si="3"/>
        <v>43.75</v>
      </c>
      <c r="I69" s="12">
        <f t="shared" si="4"/>
        <v>157.5</v>
      </c>
      <c r="J69" s="13">
        <f t="shared" si="5"/>
        <v>88.60726841756215</v>
      </c>
      <c r="K69" s="13">
        <f t="shared" si="6"/>
        <v>72.97508509835693</v>
      </c>
      <c r="L69" s="13">
        <f t="shared" si="7"/>
        <v>63.399020469034134</v>
      </c>
      <c r="M69" s="14">
        <f t="shared" si="8"/>
        <v>58.33333333333333</v>
      </c>
      <c r="N69" s="15">
        <f t="shared" si="9"/>
        <v>210</v>
      </c>
      <c r="O69" s="13">
        <f t="shared" si="10"/>
        <v>118.14302455674954</v>
      </c>
      <c r="P69" s="13">
        <f t="shared" si="11"/>
        <v>97.3001134644759</v>
      </c>
      <c r="Q69" s="13">
        <f t="shared" si="12"/>
        <v>84.5320272920455</v>
      </c>
      <c r="R69" s="15">
        <f t="shared" si="13"/>
        <v>72.91666666666667</v>
      </c>
      <c r="S69" s="15">
        <f t="shared" si="14"/>
        <v>262.5</v>
      </c>
      <c r="T69" s="13">
        <f t="shared" si="15"/>
        <v>147.67878069593692</v>
      </c>
      <c r="U69" s="13">
        <f t="shared" si="16"/>
        <v>121.62514183059487</v>
      </c>
      <c r="V69" s="52">
        <f t="shared" si="17"/>
        <v>105.66503411505688</v>
      </c>
      <c r="X69" s="45"/>
      <c r="Y69" s="6"/>
      <c r="Z69" s="6"/>
      <c r="AA69" s="50">
        <v>175</v>
      </c>
      <c r="AB69" s="51">
        <f t="shared" si="18"/>
        <v>137.0086111931525</v>
      </c>
      <c r="AC69" s="51">
        <f t="shared" si="19"/>
        <v>114.63831038375851</v>
      </c>
      <c r="AD69" s="51">
        <f t="shared" si="20"/>
        <v>88.20408834803276</v>
      </c>
      <c r="AE69" s="11">
        <f t="shared" si="21"/>
        <v>43.75</v>
      </c>
      <c r="AF69" s="12">
        <f t="shared" si="22"/>
        <v>157.5</v>
      </c>
      <c r="AG69" s="13">
        <f t="shared" si="23"/>
        <v>123.30775007383724</v>
      </c>
      <c r="AH69" s="13">
        <f t="shared" si="24"/>
        <v>103.17447934538266</v>
      </c>
      <c r="AI69" s="13">
        <f t="shared" si="25"/>
        <v>79.38367951322948</v>
      </c>
      <c r="AJ69" s="14">
        <f t="shared" si="26"/>
        <v>58.33333333333333</v>
      </c>
      <c r="AK69" s="15">
        <f t="shared" si="27"/>
        <v>210</v>
      </c>
      <c r="AL69" s="13">
        <f t="shared" si="28"/>
        <v>164.410333431783</v>
      </c>
      <c r="AM69" s="13">
        <f t="shared" si="29"/>
        <v>137.5659724605102</v>
      </c>
      <c r="AN69" s="13">
        <f t="shared" si="30"/>
        <v>105.84490601763932</v>
      </c>
      <c r="AO69" s="15">
        <f t="shared" si="31"/>
        <v>72.91666666666667</v>
      </c>
      <c r="AP69" s="15">
        <f t="shared" si="32"/>
        <v>262.5</v>
      </c>
      <c r="AQ69" s="13">
        <f t="shared" si="33"/>
        <v>205.51291678972873</v>
      </c>
      <c r="AR69" s="13">
        <f t="shared" si="34"/>
        <v>171.95746557563777</v>
      </c>
      <c r="AS69" s="52">
        <f t="shared" si="35"/>
        <v>132.30613252204913</v>
      </c>
      <c r="AU69" s="45"/>
      <c r="AV69" s="6"/>
      <c r="AW69" s="6"/>
      <c r="AX69" s="50">
        <v>175</v>
      </c>
      <c r="AY69" s="51">
        <f t="shared" si="36"/>
        <v>70.73262673654719</v>
      </c>
      <c r="AZ69" s="51">
        <f t="shared" si="37"/>
        <v>60.179831228240644</v>
      </c>
      <c r="BA69" s="51">
        <f t="shared" si="38"/>
        <v>49.671744024335084</v>
      </c>
      <c r="BB69" s="11">
        <f t="shared" si="39"/>
        <v>43.75</v>
      </c>
      <c r="BC69" s="12">
        <f t="shared" si="40"/>
        <v>157.5</v>
      </c>
      <c r="BD69" s="13">
        <f t="shared" si="41"/>
        <v>63.65936406289247</v>
      </c>
      <c r="BE69" s="13">
        <f t="shared" si="42"/>
        <v>54.16184810541658</v>
      </c>
      <c r="BF69" s="13">
        <f t="shared" si="43"/>
        <v>44.70456962190158</v>
      </c>
      <c r="BG69" s="14">
        <f t="shared" si="44"/>
        <v>58.33333333333333</v>
      </c>
      <c r="BH69" s="15">
        <f t="shared" si="45"/>
        <v>210</v>
      </c>
      <c r="BI69" s="13">
        <f t="shared" si="46"/>
        <v>84.87915208385662</v>
      </c>
      <c r="BJ69" s="13">
        <f t="shared" si="47"/>
        <v>72.21579747388877</v>
      </c>
      <c r="BK69" s="13">
        <f t="shared" si="48"/>
        <v>59.6060928292021</v>
      </c>
      <c r="BL69" s="15">
        <f t="shared" si="49"/>
        <v>72.91666666666667</v>
      </c>
      <c r="BM69" s="15">
        <f t="shared" si="50"/>
        <v>262.5</v>
      </c>
      <c r="BN69" s="13">
        <f t="shared" si="51"/>
        <v>106.09894010482078</v>
      </c>
      <c r="BO69" s="13">
        <f t="shared" si="52"/>
        <v>90.26974684236097</v>
      </c>
      <c r="BP69" s="52">
        <f t="shared" si="53"/>
        <v>74.50761603650263</v>
      </c>
    </row>
    <row r="70" spans="1:68" ht="12.75">
      <c r="A70" s="45"/>
      <c r="B70" s="6"/>
      <c r="C70" s="6"/>
      <c r="D70" s="6">
        <v>180</v>
      </c>
      <c r="E70" s="51">
        <f t="shared" si="0"/>
        <v>100.04617266655485</v>
      </c>
      <c r="F70" s="51">
        <f t="shared" si="1"/>
        <v>82.39592636691305</v>
      </c>
      <c r="G70" s="51">
        <f t="shared" si="2"/>
        <v>71.58362357865296</v>
      </c>
      <c r="H70" s="11">
        <f t="shared" si="3"/>
        <v>45</v>
      </c>
      <c r="I70" s="12">
        <f t="shared" si="4"/>
        <v>162</v>
      </c>
      <c r="J70" s="13">
        <f t="shared" si="5"/>
        <v>90.04155539989937</v>
      </c>
      <c r="K70" s="13">
        <f t="shared" si="6"/>
        <v>74.15633373022175</v>
      </c>
      <c r="L70" s="13">
        <f t="shared" si="7"/>
        <v>64.42526122078766</v>
      </c>
      <c r="M70" s="14">
        <f t="shared" si="8"/>
        <v>60</v>
      </c>
      <c r="N70" s="15">
        <f t="shared" si="9"/>
        <v>216</v>
      </c>
      <c r="O70" s="13">
        <f t="shared" si="10"/>
        <v>120.05540719986581</v>
      </c>
      <c r="P70" s="13">
        <f t="shared" si="11"/>
        <v>98.87511164029566</v>
      </c>
      <c r="Q70" s="13">
        <f t="shared" si="12"/>
        <v>85.90034829438356</v>
      </c>
      <c r="R70" s="15">
        <f t="shared" si="13"/>
        <v>75</v>
      </c>
      <c r="S70" s="15">
        <f t="shared" si="14"/>
        <v>270</v>
      </c>
      <c r="T70" s="13">
        <f t="shared" si="15"/>
        <v>150.06925899983227</v>
      </c>
      <c r="U70" s="13">
        <f t="shared" si="16"/>
        <v>123.59388955036957</v>
      </c>
      <c r="V70" s="52">
        <f t="shared" si="17"/>
        <v>107.37543536797945</v>
      </c>
      <c r="X70" s="45"/>
      <c r="Y70" s="6"/>
      <c r="Z70" s="6"/>
      <c r="AA70" s="6">
        <v>180</v>
      </c>
      <c r="AB70" s="51">
        <f t="shared" si="18"/>
        <v>139.8947323830839</v>
      </c>
      <c r="AC70" s="51">
        <f t="shared" si="19"/>
        <v>117.05319550590646</v>
      </c>
      <c r="AD70" s="51">
        <f t="shared" si="20"/>
        <v>90.06212986967809</v>
      </c>
      <c r="AE70" s="11">
        <f t="shared" si="21"/>
        <v>45</v>
      </c>
      <c r="AF70" s="12">
        <f t="shared" si="22"/>
        <v>162</v>
      </c>
      <c r="AG70" s="13">
        <f t="shared" si="23"/>
        <v>125.9052591447755</v>
      </c>
      <c r="AH70" s="13">
        <f t="shared" si="24"/>
        <v>105.34787595531581</v>
      </c>
      <c r="AI70" s="13">
        <f t="shared" si="25"/>
        <v>81.05591688271028</v>
      </c>
      <c r="AJ70" s="14">
        <f t="shared" si="26"/>
        <v>60</v>
      </c>
      <c r="AK70" s="15">
        <f t="shared" si="27"/>
        <v>216</v>
      </c>
      <c r="AL70" s="13">
        <f t="shared" si="28"/>
        <v>167.87367885970068</v>
      </c>
      <c r="AM70" s="13">
        <f t="shared" si="29"/>
        <v>140.46383460708773</v>
      </c>
      <c r="AN70" s="13">
        <f t="shared" si="30"/>
        <v>108.07455584361371</v>
      </c>
      <c r="AO70" s="15">
        <f t="shared" si="31"/>
        <v>75</v>
      </c>
      <c r="AP70" s="15">
        <f t="shared" si="32"/>
        <v>270</v>
      </c>
      <c r="AQ70" s="13">
        <f t="shared" si="33"/>
        <v>209.84209857462582</v>
      </c>
      <c r="AR70" s="13">
        <f t="shared" si="34"/>
        <v>175.5797932588597</v>
      </c>
      <c r="AS70" s="52">
        <f t="shared" si="35"/>
        <v>135.09319480451714</v>
      </c>
      <c r="AU70" s="45"/>
      <c r="AV70" s="6"/>
      <c r="AW70" s="6"/>
      <c r="AX70" s="6">
        <v>180</v>
      </c>
      <c r="AY70" s="51">
        <f t="shared" si="36"/>
        <v>72.0194563167954</v>
      </c>
      <c r="AZ70" s="51">
        <f t="shared" si="37"/>
        <v>61.274675157157425</v>
      </c>
      <c r="BA70" s="51">
        <f t="shared" si="38"/>
        <v>50.575415674351795</v>
      </c>
      <c r="BB70" s="11">
        <f t="shared" si="39"/>
        <v>45</v>
      </c>
      <c r="BC70" s="12">
        <f t="shared" si="40"/>
        <v>162</v>
      </c>
      <c r="BD70" s="13">
        <f t="shared" si="41"/>
        <v>64.81751068511586</v>
      </c>
      <c r="BE70" s="13">
        <f t="shared" si="42"/>
        <v>55.14720764144168</v>
      </c>
      <c r="BF70" s="13">
        <f t="shared" si="43"/>
        <v>45.517874106916615</v>
      </c>
      <c r="BG70" s="14">
        <f t="shared" si="44"/>
        <v>60</v>
      </c>
      <c r="BH70" s="15">
        <f t="shared" si="45"/>
        <v>216</v>
      </c>
      <c r="BI70" s="13">
        <f t="shared" si="46"/>
        <v>86.42334758015448</v>
      </c>
      <c r="BJ70" s="13">
        <f t="shared" si="47"/>
        <v>73.5296101885889</v>
      </c>
      <c r="BK70" s="13">
        <f t="shared" si="48"/>
        <v>60.690498809222156</v>
      </c>
      <c r="BL70" s="15">
        <f t="shared" si="49"/>
        <v>75</v>
      </c>
      <c r="BM70" s="15">
        <f t="shared" si="50"/>
        <v>270</v>
      </c>
      <c r="BN70" s="13">
        <f t="shared" si="51"/>
        <v>108.02918447519309</v>
      </c>
      <c r="BO70" s="13">
        <f t="shared" si="52"/>
        <v>91.91201273573614</v>
      </c>
      <c r="BP70" s="52">
        <f t="shared" si="53"/>
        <v>75.86312351152769</v>
      </c>
    </row>
    <row r="71" spans="1:68" ht="12.75">
      <c r="A71" s="45"/>
      <c r="B71" s="6"/>
      <c r="C71" s="6"/>
      <c r="D71" s="50">
        <v>185</v>
      </c>
      <c r="E71" s="51">
        <f t="shared" si="0"/>
        <v>101.62089987066051</v>
      </c>
      <c r="F71" s="51">
        <f t="shared" si="1"/>
        <v>83.69283861551962</v>
      </c>
      <c r="G71" s="51">
        <f t="shared" si="2"/>
        <v>72.7103501331356</v>
      </c>
      <c r="H71" s="11">
        <f t="shared" si="3"/>
        <v>46.25</v>
      </c>
      <c r="I71" s="12">
        <f t="shared" si="4"/>
        <v>166.5</v>
      </c>
      <c r="J71" s="13">
        <f t="shared" si="5"/>
        <v>91.45880988359445</v>
      </c>
      <c r="K71" s="13">
        <f t="shared" si="6"/>
        <v>75.32355475396766</v>
      </c>
      <c r="L71" s="13">
        <f t="shared" si="7"/>
        <v>65.43931511982204</v>
      </c>
      <c r="M71" s="14">
        <f t="shared" si="8"/>
        <v>61.666666666666664</v>
      </c>
      <c r="N71" s="15">
        <f t="shared" si="9"/>
        <v>222</v>
      </c>
      <c r="O71" s="13">
        <f t="shared" si="10"/>
        <v>121.9450798447926</v>
      </c>
      <c r="P71" s="13">
        <f t="shared" si="11"/>
        <v>100.43140633862355</v>
      </c>
      <c r="Q71" s="13">
        <f t="shared" si="12"/>
        <v>87.25242015976272</v>
      </c>
      <c r="R71" s="15">
        <f t="shared" si="13"/>
        <v>77.08333333333333</v>
      </c>
      <c r="S71" s="15">
        <f t="shared" si="14"/>
        <v>277.5</v>
      </c>
      <c r="T71" s="13">
        <f t="shared" si="15"/>
        <v>152.43134980599075</v>
      </c>
      <c r="U71" s="13">
        <f t="shared" si="16"/>
        <v>125.53925792327942</v>
      </c>
      <c r="V71" s="52">
        <f t="shared" si="17"/>
        <v>109.0655251997034</v>
      </c>
      <c r="X71" s="45"/>
      <c r="Y71" s="6"/>
      <c r="Z71" s="6"/>
      <c r="AA71" s="50">
        <v>185</v>
      </c>
      <c r="AB71" s="51">
        <f t="shared" si="18"/>
        <v>142.7600814460132</v>
      </c>
      <c r="AC71" s="51">
        <f t="shared" si="19"/>
        <v>119.45070010341541</v>
      </c>
      <c r="AD71" s="51">
        <f t="shared" si="20"/>
        <v>91.90679860760336</v>
      </c>
      <c r="AE71" s="11">
        <f t="shared" si="21"/>
        <v>46.25</v>
      </c>
      <c r="AF71" s="12">
        <f t="shared" si="22"/>
        <v>166.5</v>
      </c>
      <c r="AG71" s="13">
        <f t="shared" si="23"/>
        <v>128.48407330141188</v>
      </c>
      <c r="AH71" s="13">
        <f t="shared" si="24"/>
        <v>107.50563009307388</v>
      </c>
      <c r="AI71" s="13">
        <f t="shared" si="25"/>
        <v>82.71611874684302</v>
      </c>
      <c r="AJ71" s="14">
        <f t="shared" si="26"/>
        <v>61.666666666666664</v>
      </c>
      <c r="AK71" s="15">
        <f t="shared" si="27"/>
        <v>222</v>
      </c>
      <c r="AL71" s="13">
        <f t="shared" si="28"/>
        <v>171.31209773521584</v>
      </c>
      <c r="AM71" s="13">
        <f t="shared" si="29"/>
        <v>143.3408401240985</v>
      </c>
      <c r="AN71" s="13">
        <f t="shared" si="30"/>
        <v>110.28815832912404</v>
      </c>
      <c r="AO71" s="15">
        <f t="shared" si="31"/>
        <v>77.08333333333333</v>
      </c>
      <c r="AP71" s="15">
        <f t="shared" si="32"/>
        <v>277.5</v>
      </c>
      <c r="AQ71" s="13">
        <f t="shared" si="33"/>
        <v>214.1401221690198</v>
      </c>
      <c r="AR71" s="13">
        <f t="shared" si="34"/>
        <v>179.1760501551231</v>
      </c>
      <c r="AS71" s="52">
        <f t="shared" si="35"/>
        <v>137.86019791140504</v>
      </c>
      <c r="AU71" s="45"/>
      <c r="AV71" s="6"/>
      <c r="AW71" s="6"/>
      <c r="AX71" s="50">
        <v>185</v>
      </c>
      <c r="AY71" s="51">
        <f t="shared" si="36"/>
        <v>73.29347979478683</v>
      </c>
      <c r="AZ71" s="51">
        <f t="shared" si="37"/>
        <v>62.35862356150426</v>
      </c>
      <c r="BA71" s="51">
        <f t="shared" si="38"/>
        <v>51.47009428307206</v>
      </c>
      <c r="BB71" s="11">
        <f t="shared" si="39"/>
        <v>46.25</v>
      </c>
      <c r="BC71" s="12">
        <f t="shared" si="40"/>
        <v>166.5</v>
      </c>
      <c r="BD71" s="13">
        <f t="shared" si="41"/>
        <v>65.96413181530815</v>
      </c>
      <c r="BE71" s="13">
        <f t="shared" si="42"/>
        <v>56.12276120535383</v>
      </c>
      <c r="BF71" s="13">
        <f t="shared" si="43"/>
        <v>46.32308485476485</v>
      </c>
      <c r="BG71" s="14">
        <f t="shared" si="44"/>
        <v>61.666666666666664</v>
      </c>
      <c r="BH71" s="15">
        <f t="shared" si="45"/>
        <v>222</v>
      </c>
      <c r="BI71" s="13">
        <f t="shared" si="46"/>
        <v>87.9521757537442</v>
      </c>
      <c r="BJ71" s="13">
        <f t="shared" si="47"/>
        <v>74.83034827380511</v>
      </c>
      <c r="BK71" s="13">
        <f t="shared" si="48"/>
        <v>61.764113139686465</v>
      </c>
      <c r="BL71" s="15">
        <f t="shared" si="49"/>
        <v>77.08333333333333</v>
      </c>
      <c r="BM71" s="15">
        <f t="shared" si="50"/>
        <v>277.5</v>
      </c>
      <c r="BN71" s="13">
        <f t="shared" si="51"/>
        <v>109.94021969218025</v>
      </c>
      <c r="BO71" s="13">
        <f t="shared" si="52"/>
        <v>93.53793534225639</v>
      </c>
      <c r="BP71" s="52">
        <f t="shared" si="53"/>
        <v>77.20514142460809</v>
      </c>
    </row>
    <row r="72" spans="1:68" ht="12.75">
      <c r="A72" s="45"/>
      <c r="B72" s="6"/>
      <c r="C72" s="6"/>
      <c r="D72" s="6">
        <v>190</v>
      </c>
      <c r="E72" s="51">
        <f t="shared" si="0"/>
        <v>103.17742944659112</v>
      </c>
      <c r="F72" s="51">
        <f t="shared" si="1"/>
        <v>84.97476367979722</v>
      </c>
      <c r="G72" s="51">
        <f t="shared" si="2"/>
        <v>73.82405617788173</v>
      </c>
      <c r="H72" s="11">
        <f t="shared" si="3"/>
        <v>47.5</v>
      </c>
      <c r="I72" s="12">
        <f t="shared" si="4"/>
        <v>171</v>
      </c>
      <c r="J72" s="13">
        <f t="shared" si="5"/>
        <v>92.859686501932</v>
      </c>
      <c r="K72" s="13">
        <f t="shared" si="6"/>
        <v>76.4772873118175</v>
      </c>
      <c r="L72" s="13">
        <f t="shared" si="7"/>
        <v>66.44165056009356</v>
      </c>
      <c r="M72" s="14">
        <f t="shared" si="8"/>
        <v>63.33333333333333</v>
      </c>
      <c r="N72" s="15">
        <f t="shared" si="9"/>
        <v>228</v>
      </c>
      <c r="O72" s="13">
        <f t="shared" si="10"/>
        <v>123.81291533590935</v>
      </c>
      <c r="P72" s="13">
        <f t="shared" si="11"/>
        <v>101.96971641575666</v>
      </c>
      <c r="Q72" s="13">
        <f t="shared" si="12"/>
        <v>88.58886741345808</v>
      </c>
      <c r="R72" s="15">
        <f t="shared" si="13"/>
        <v>79.16666666666667</v>
      </c>
      <c r="S72" s="15">
        <f t="shared" si="14"/>
        <v>285</v>
      </c>
      <c r="T72" s="13">
        <f t="shared" si="15"/>
        <v>154.76614416988667</v>
      </c>
      <c r="U72" s="13">
        <f t="shared" si="16"/>
        <v>127.46214551969582</v>
      </c>
      <c r="V72" s="52">
        <f t="shared" si="17"/>
        <v>110.7360842668226</v>
      </c>
      <c r="X72" s="45"/>
      <c r="Y72" s="6"/>
      <c r="Z72" s="6"/>
      <c r="AA72" s="6">
        <v>190</v>
      </c>
      <c r="AB72" s="51">
        <f t="shared" si="18"/>
        <v>145.60536345096725</v>
      </c>
      <c r="AC72" s="51">
        <f t="shared" si="19"/>
        <v>121.83141412403566</v>
      </c>
      <c r="AD72" s="51">
        <f t="shared" si="20"/>
        <v>93.73854847466995</v>
      </c>
      <c r="AE72" s="11">
        <f t="shared" si="21"/>
        <v>47.5</v>
      </c>
      <c r="AF72" s="12">
        <f t="shared" si="22"/>
        <v>171</v>
      </c>
      <c r="AG72" s="13">
        <f t="shared" si="23"/>
        <v>131.04482710587052</v>
      </c>
      <c r="AH72" s="13">
        <f t="shared" si="24"/>
        <v>109.6482727116321</v>
      </c>
      <c r="AI72" s="13">
        <f t="shared" si="25"/>
        <v>84.36469362720297</v>
      </c>
      <c r="AJ72" s="14">
        <f t="shared" si="26"/>
        <v>63.33333333333333</v>
      </c>
      <c r="AK72" s="15">
        <f t="shared" si="27"/>
        <v>228</v>
      </c>
      <c r="AL72" s="13">
        <f t="shared" si="28"/>
        <v>174.7264361411607</v>
      </c>
      <c r="AM72" s="13">
        <f t="shared" si="29"/>
        <v>146.19769694884278</v>
      </c>
      <c r="AN72" s="13">
        <f t="shared" si="30"/>
        <v>112.48625816960394</v>
      </c>
      <c r="AO72" s="15">
        <f t="shared" si="31"/>
        <v>79.16666666666667</v>
      </c>
      <c r="AP72" s="15">
        <f t="shared" si="32"/>
        <v>285</v>
      </c>
      <c r="AQ72" s="13">
        <f t="shared" si="33"/>
        <v>218.40804517645086</v>
      </c>
      <c r="AR72" s="13">
        <f t="shared" si="34"/>
        <v>182.7471211860535</v>
      </c>
      <c r="AS72" s="52">
        <f t="shared" si="35"/>
        <v>140.60782271200495</v>
      </c>
      <c r="AU72" s="45"/>
      <c r="AV72" s="6"/>
      <c r="AW72" s="6"/>
      <c r="AX72" s="6">
        <v>190</v>
      </c>
      <c r="AY72" s="51">
        <f t="shared" si="36"/>
        <v>74.55516571385718</v>
      </c>
      <c r="AZ72" s="51">
        <f t="shared" si="37"/>
        <v>63.432075081345374</v>
      </c>
      <c r="BA72" s="51">
        <f t="shared" si="38"/>
        <v>52.356108883443014</v>
      </c>
      <c r="BB72" s="11">
        <f t="shared" si="39"/>
        <v>47.5</v>
      </c>
      <c r="BC72" s="12">
        <f t="shared" si="40"/>
        <v>171</v>
      </c>
      <c r="BD72" s="13">
        <f t="shared" si="41"/>
        <v>67.09964914247146</v>
      </c>
      <c r="BE72" s="13">
        <f t="shared" si="42"/>
        <v>57.08886757321084</v>
      </c>
      <c r="BF72" s="13">
        <f t="shared" si="43"/>
        <v>47.12049799509872</v>
      </c>
      <c r="BG72" s="14">
        <f t="shared" si="44"/>
        <v>63.33333333333333</v>
      </c>
      <c r="BH72" s="15">
        <f t="shared" si="45"/>
        <v>228</v>
      </c>
      <c r="BI72" s="13">
        <f t="shared" si="46"/>
        <v>89.46619885662862</v>
      </c>
      <c r="BJ72" s="13">
        <f t="shared" si="47"/>
        <v>76.11849009761444</v>
      </c>
      <c r="BK72" s="13">
        <f t="shared" si="48"/>
        <v>62.827330660131615</v>
      </c>
      <c r="BL72" s="15">
        <f t="shared" si="49"/>
        <v>79.16666666666667</v>
      </c>
      <c r="BM72" s="15">
        <f t="shared" si="50"/>
        <v>285</v>
      </c>
      <c r="BN72" s="13">
        <f t="shared" si="51"/>
        <v>111.83274857078577</v>
      </c>
      <c r="BO72" s="13">
        <f t="shared" si="52"/>
        <v>95.14811262201806</v>
      </c>
      <c r="BP72" s="52">
        <f t="shared" si="53"/>
        <v>78.53416332516453</v>
      </c>
    </row>
    <row r="73" spans="1:68" ht="12.75">
      <c r="A73" s="45"/>
      <c r="B73" s="6"/>
      <c r="C73" s="6"/>
      <c r="D73" s="50">
        <v>195</v>
      </c>
      <c r="E73" s="51">
        <f t="shared" si="0"/>
        <v>104.71644249823696</v>
      </c>
      <c r="F73" s="51">
        <f t="shared" si="1"/>
        <v>86.24226250260347</v>
      </c>
      <c r="G73" s="51">
        <f t="shared" si="2"/>
        <v>74.92522904672131</v>
      </c>
      <c r="H73" s="11">
        <f t="shared" si="3"/>
        <v>48.75</v>
      </c>
      <c r="I73" s="12">
        <f t="shared" si="4"/>
        <v>175.5</v>
      </c>
      <c r="J73" s="13">
        <f t="shared" si="5"/>
        <v>94.24479824841326</v>
      </c>
      <c r="K73" s="13">
        <f t="shared" si="6"/>
        <v>77.61803625234312</v>
      </c>
      <c r="L73" s="13">
        <f t="shared" si="7"/>
        <v>67.43270614204918</v>
      </c>
      <c r="M73" s="14">
        <f t="shared" si="8"/>
        <v>65</v>
      </c>
      <c r="N73" s="15">
        <f t="shared" si="9"/>
        <v>234</v>
      </c>
      <c r="O73" s="13">
        <f t="shared" si="10"/>
        <v>125.65973099788435</v>
      </c>
      <c r="P73" s="13">
        <f t="shared" si="11"/>
        <v>103.49071500312417</v>
      </c>
      <c r="Q73" s="13">
        <f t="shared" si="12"/>
        <v>89.91027485606557</v>
      </c>
      <c r="R73" s="15">
        <f t="shared" si="13"/>
        <v>81.25</v>
      </c>
      <c r="S73" s="15">
        <f t="shared" si="14"/>
        <v>292.5</v>
      </c>
      <c r="T73" s="13">
        <f t="shared" si="15"/>
        <v>157.07466374735543</v>
      </c>
      <c r="U73" s="13">
        <f t="shared" si="16"/>
        <v>129.3633937539052</v>
      </c>
      <c r="V73" s="52">
        <f t="shared" si="17"/>
        <v>112.38784357008197</v>
      </c>
      <c r="X73" s="45"/>
      <c r="Y73" s="6"/>
      <c r="Z73" s="6"/>
      <c r="AA73" s="50">
        <v>195</v>
      </c>
      <c r="AB73" s="51">
        <f t="shared" si="18"/>
        <v>148.43124166286884</v>
      </c>
      <c r="AC73" s="51">
        <f t="shared" si="19"/>
        <v>124.19589253704557</v>
      </c>
      <c r="AD73" s="51">
        <f t="shared" si="20"/>
        <v>95.55780647088419</v>
      </c>
      <c r="AE73" s="11">
        <f t="shared" si="21"/>
        <v>48.75</v>
      </c>
      <c r="AF73" s="12">
        <f t="shared" si="22"/>
        <v>175.5</v>
      </c>
      <c r="AG73" s="13">
        <f t="shared" si="23"/>
        <v>133.58811749658196</v>
      </c>
      <c r="AH73" s="13">
        <f t="shared" si="24"/>
        <v>111.77630328334101</v>
      </c>
      <c r="AI73" s="13">
        <f t="shared" si="25"/>
        <v>86.00202582379578</v>
      </c>
      <c r="AJ73" s="14">
        <f t="shared" si="26"/>
        <v>65</v>
      </c>
      <c r="AK73" s="15">
        <f t="shared" si="27"/>
        <v>234</v>
      </c>
      <c r="AL73" s="13">
        <f t="shared" si="28"/>
        <v>178.1174899954426</v>
      </c>
      <c r="AM73" s="13">
        <f t="shared" si="29"/>
        <v>149.03507104445467</v>
      </c>
      <c r="AN73" s="13">
        <f t="shared" si="30"/>
        <v>114.66936776506103</v>
      </c>
      <c r="AO73" s="15">
        <f t="shared" si="31"/>
        <v>81.25</v>
      </c>
      <c r="AP73" s="15">
        <f t="shared" si="32"/>
        <v>292.5</v>
      </c>
      <c r="AQ73" s="13">
        <f t="shared" si="33"/>
        <v>222.64686249430326</v>
      </c>
      <c r="AR73" s="13">
        <f t="shared" si="34"/>
        <v>186.29383880556836</v>
      </c>
      <c r="AS73" s="52">
        <f t="shared" si="35"/>
        <v>143.33670970632627</v>
      </c>
      <c r="AU73" s="45"/>
      <c r="AV73" s="6"/>
      <c r="AW73" s="6"/>
      <c r="AX73" s="50">
        <v>195</v>
      </c>
      <c r="AY73" s="51">
        <f t="shared" si="36"/>
        <v>75.80495364609772</v>
      </c>
      <c r="AZ73" s="51">
        <f t="shared" si="37"/>
        <v>64.49540370780038</v>
      </c>
      <c r="BA73" s="51">
        <f t="shared" si="38"/>
        <v>53.23376816345501</v>
      </c>
      <c r="BB73" s="11">
        <f t="shared" si="39"/>
        <v>48.75</v>
      </c>
      <c r="BC73" s="12">
        <f t="shared" si="40"/>
        <v>175.5</v>
      </c>
      <c r="BD73" s="13">
        <f t="shared" si="41"/>
        <v>68.22445828148794</v>
      </c>
      <c r="BE73" s="13">
        <f t="shared" si="42"/>
        <v>58.04586333702034</v>
      </c>
      <c r="BF73" s="13">
        <f t="shared" si="43"/>
        <v>47.91039134710951</v>
      </c>
      <c r="BG73" s="14">
        <f t="shared" si="44"/>
        <v>65</v>
      </c>
      <c r="BH73" s="15">
        <f t="shared" si="45"/>
        <v>234</v>
      </c>
      <c r="BI73" s="13">
        <f t="shared" si="46"/>
        <v>90.96594437531725</v>
      </c>
      <c r="BJ73" s="13">
        <f t="shared" si="47"/>
        <v>77.39448444936045</v>
      </c>
      <c r="BK73" s="13">
        <f t="shared" si="48"/>
        <v>63.88052179614601</v>
      </c>
      <c r="BL73" s="15">
        <f t="shared" si="49"/>
        <v>81.25</v>
      </c>
      <c r="BM73" s="15">
        <f t="shared" si="50"/>
        <v>292.5</v>
      </c>
      <c r="BN73" s="13">
        <f t="shared" si="51"/>
        <v>113.70743046914657</v>
      </c>
      <c r="BO73" s="13">
        <f t="shared" si="52"/>
        <v>96.74310556170056</v>
      </c>
      <c r="BP73" s="52">
        <f t="shared" si="53"/>
        <v>79.85065224518252</v>
      </c>
    </row>
    <row r="74" spans="1:68" ht="13.5" thickBot="1">
      <c r="A74" s="53"/>
      <c r="B74" s="54"/>
      <c r="C74" s="54"/>
      <c r="D74" s="55">
        <v>200</v>
      </c>
      <c r="E74" s="51">
        <f t="shared" si="0"/>
        <v>106.23857791142406</v>
      </c>
      <c r="F74" s="51">
        <f t="shared" si="1"/>
        <v>87.49586125688508</v>
      </c>
      <c r="G74" s="51">
        <f t="shared" si="2"/>
        <v>76.01432586621162</v>
      </c>
      <c r="H74" s="11">
        <f t="shared" si="3"/>
        <v>50</v>
      </c>
      <c r="I74" s="12">
        <f t="shared" si="4"/>
        <v>180</v>
      </c>
      <c r="J74" s="13">
        <f t="shared" si="5"/>
        <v>95.61472012028166</v>
      </c>
      <c r="K74" s="13">
        <f t="shared" si="6"/>
        <v>78.74627513119657</v>
      </c>
      <c r="L74" s="13">
        <f t="shared" si="7"/>
        <v>68.41289327959046</v>
      </c>
      <c r="M74" s="14">
        <f t="shared" si="8"/>
        <v>66.66666666666667</v>
      </c>
      <c r="N74" s="15">
        <f t="shared" si="9"/>
        <v>240</v>
      </c>
      <c r="O74" s="13">
        <f t="shared" si="10"/>
        <v>127.48629349370887</v>
      </c>
      <c r="P74" s="13">
        <f t="shared" si="11"/>
        <v>104.99503350826208</v>
      </c>
      <c r="Q74" s="13">
        <f t="shared" si="12"/>
        <v>91.21719103945395</v>
      </c>
      <c r="R74" s="15">
        <f t="shared" si="13"/>
        <v>83.33333333333333</v>
      </c>
      <c r="S74" s="15">
        <f t="shared" si="14"/>
        <v>300</v>
      </c>
      <c r="T74" s="13">
        <f t="shared" si="15"/>
        <v>159.3578668671361</v>
      </c>
      <c r="U74" s="13">
        <f t="shared" si="16"/>
        <v>131.2437918853276</v>
      </c>
      <c r="V74" s="52">
        <f t="shared" si="17"/>
        <v>114.02148879931744</v>
      </c>
      <c r="X74" s="53"/>
      <c r="Y74" s="54"/>
      <c r="Z74" s="54"/>
      <c r="AA74" s="55">
        <v>200</v>
      </c>
      <c r="AB74" s="51">
        <f t="shared" si="18"/>
        <v>151.23834102679035</v>
      </c>
      <c r="AC74" s="51">
        <f t="shared" si="19"/>
        <v>126.54465824860812</v>
      </c>
      <c r="AD74" s="51">
        <f t="shared" si="20"/>
        <v>97.3649749265076</v>
      </c>
      <c r="AE74" s="11">
        <f t="shared" si="21"/>
        <v>50</v>
      </c>
      <c r="AF74" s="12">
        <f t="shared" si="22"/>
        <v>180</v>
      </c>
      <c r="AG74" s="13">
        <f t="shared" si="23"/>
        <v>136.1145069241113</v>
      </c>
      <c r="AH74" s="13">
        <f t="shared" si="24"/>
        <v>113.89019242374731</v>
      </c>
      <c r="AI74" s="13">
        <f t="shared" si="25"/>
        <v>87.62847743385684</v>
      </c>
      <c r="AJ74" s="14">
        <f t="shared" si="26"/>
        <v>66.66666666666667</v>
      </c>
      <c r="AK74" s="15">
        <f t="shared" si="27"/>
        <v>240</v>
      </c>
      <c r="AL74" s="13">
        <f t="shared" si="28"/>
        <v>181.4860092321484</v>
      </c>
      <c r="AM74" s="13">
        <f t="shared" si="29"/>
        <v>151.85358989832974</v>
      </c>
      <c r="AN74" s="13">
        <f t="shared" si="30"/>
        <v>116.83796991180913</v>
      </c>
      <c r="AO74" s="15">
        <f t="shared" si="31"/>
        <v>83.33333333333333</v>
      </c>
      <c r="AP74" s="15">
        <f t="shared" si="32"/>
        <v>300</v>
      </c>
      <c r="AQ74" s="13">
        <f t="shared" si="33"/>
        <v>226.85751154018553</v>
      </c>
      <c r="AR74" s="13">
        <f t="shared" si="34"/>
        <v>189.81698737291217</v>
      </c>
      <c r="AS74" s="52">
        <f t="shared" si="35"/>
        <v>146.04746238976142</v>
      </c>
      <c r="AU74" s="53"/>
      <c r="AV74" s="54"/>
      <c r="AW74" s="54"/>
      <c r="AX74" s="55">
        <v>200</v>
      </c>
      <c r="AY74" s="51">
        <f t="shared" si="36"/>
        <v>77.04325667788174</v>
      </c>
      <c r="AZ74" s="51">
        <f t="shared" si="37"/>
        <v>65.54896089774816</v>
      </c>
      <c r="BA74" s="51">
        <f t="shared" si="38"/>
        <v>54.10336221159395</v>
      </c>
      <c r="BB74" s="11">
        <f t="shared" si="39"/>
        <v>50</v>
      </c>
      <c r="BC74" s="12">
        <f t="shared" si="40"/>
        <v>180</v>
      </c>
      <c r="BD74" s="13">
        <f t="shared" si="41"/>
        <v>69.33893101009357</v>
      </c>
      <c r="BE74" s="13">
        <f t="shared" si="42"/>
        <v>58.994064807973345</v>
      </c>
      <c r="BF74" s="13">
        <f t="shared" si="43"/>
        <v>48.693025990434556</v>
      </c>
      <c r="BG74" s="14">
        <f t="shared" si="44"/>
        <v>66.66666666666667</v>
      </c>
      <c r="BH74" s="15">
        <f t="shared" si="45"/>
        <v>240</v>
      </c>
      <c r="BI74" s="13">
        <f t="shared" si="46"/>
        <v>92.45190801345808</v>
      </c>
      <c r="BJ74" s="13">
        <f t="shared" si="47"/>
        <v>78.65875307729779</v>
      </c>
      <c r="BK74" s="13">
        <f t="shared" si="48"/>
        <v>64.92403465391274</v>
      </c>
      <c r="BL74" s="15">
        <f t="shared" si="49"/>
        <v>83.33333333333333</v>
      </c>
      <c r="BM74" s="15">
        <f t="shared" si="50"/>
        <v>300</v>
      </c>
      <c r="BN74" s="13">
        <f t="shared" si="51"/>
        <v>115.56488501682261</v>
      </c>
      <c r="BO74" s="13">
        <f t="shared" si="52"/>
        <v>98.32344134662223</v>
      </c>
      <c r="BP74" s="52">
        <f t="shared" si="53"/>
        <v>81.15504331739092</v>
      </c>
    </row>
    <row r="75" spans="5:7" ht="12.75">
      <c r="E75" s="10"/>
      <c r="F75" s="10"/>
      <c r="G75" s="10"/>
    </row>
    <row r="78" spans="3:43" ht="12.75">
      <c r="C78" s="1"/>
      <c r="D78" s="1"/>
      <c r="E78" s="1"/>
      <c r="F78" s="6"/>
      <c r="J78" s="3" t="s">
        <v>46</v>
      </c>
      <c r="K78" s="40"/>
      <c r="L78" s="41">
        <v>36538</v>
      </c>
      <c r="M78" s="6"/>
      <c r="N78" s="6"/>
      <c r="O78" s="6"/>
      <c r="Z78" s="18">
        <v>735</v>
      </c>
      <c r="AA78" s="19" t="e">
        <f>+$Z78*3600/(#REF!*4186)</f>
        <v>#REF!</v>
      </c>
      <c r="AB78" s="19" t="e">
        <f>+$Z78*3600/(#REF!*4186)</f>
        <v>#REF!</v>
      </c>
      <c r="AC78" s="19" t="e">
        <f>+$Z78*3600/(#REF!*4186)</f>
        <v>#REF!</v>
      </c>
      <c r="AD78" s="19" t="e">
        <f>+$Z78*3600/(#REF!*4186)</f>
        <v>#REF!</v>
      </c>
      <c r="AE78" s="19" t="e">
        <f>+$Z78*3600/(#REF!*4186)</f>
        <v>#REF!</v>
      </c>
      <c r="AF78" s="19" t="e">
        <f>+$Z78*3600/(#REF!*4186)</f>
        <v>#REF!</v>
      </c>
      <c r="AG78" s="19" t="e">
        <f>+$Z78*3600/(#REF!*4186)</f>
        <v>#REF!</v>
      </c>
      <c r="AH78" s="19" t="e">
        <f>+$Z78*3600/(#REF!*4186)</f>
        <v>#REF!</v>
      </c>
      <c r="AI78" s="19" t="e">
        <f>+$Z78*3600/(#REF!*4186)</f>
        <v>#REF!</v>
      </c>
      <c r="AJ78" s="19" t="e">
        <f>+$Z78*3600/(#REF!*4186)</f>
        <v>#REF!</v>
      </c>
      <c r="AK78" s="19" t="e">
        <f>+$Z78*3600/(#REF!*4186)</f>
        <v>#REF!</v>
      </c>
      <c r="AL78" s="19"/>
      <c r="AM78" s="19"/>
      <c r="AN78" s="19"/>
      <c r="AO78" s="19" t="e">
        <f>+$Z78*3600/(#REF!*4186)</f>
        <v>#REF!</v>
      </c>
      <c r="AP78" s="19" t="e">
        <f>+$Z78*3600/(#REF!*4186)</f>
        <v>#REF!</v>
      </c>
      <c r="AQ78" s="19"/>
    </row>
    <row r="79" spans="3:43" ht="12.75">
      <c r="C79" s="1"/>
      <c r="D79" s="40"/>
      <c r="E79" s="41"/>
      <c r="F79" s="6"/>
      <c r="J79" s="2" t="s">
        <v>6</v>
      </c>
      <c r="K79" s="2"/>
      <c r="L79">
        <v>0.46176</v>
      </c>
      <c r="M79" s="6"/>
      <c r="N79" s="6"/>
      <c r="O79" s="6"/>
      <c r="Z79" s="18">
        <v>740</v>
      </c>
      <c r="AA79" s="19" t="e">
        <f>+$Z79*3600/(#REF!*4186)</f>
        <v>#REF!</v>
      </c>
      <c r="AB79" s="19" t="e">
        <f>+$Z79*3600/(#REF!*4186)</f>
        <v>#REF!</v>
      </c>
      <c r="AC79" s="19" t="e">
        <f>+$Z79*3600/(#REF!*4186)</f>
        <v>#REF!</v>
      </c>
      <c r="AD79" s="19" t="e">
        <f>+$Z79*3600/(#REF!*4186)</f>
        <v>#REF!</v>
      </c>
      <c r="AE79" s="19" t="e">
        <f>+$Z79*3600/(#REF!*4186)</f>
        <v>#REF!</v>
      </c>
      <c r="AF79" s="19" t="e">
        <f>+$Z79*3600/(#REF!*4186)</f>
        <v>#REF!</v>
      </c>
      <c r="AG79" s="19" t="e">
        <f>+$Z79*3600/(#REF!*4186)</f>
        <v>#REF!</v>
      </c>
      <c r="AH79" s="19" t="e">
        <f>+$Z79*3600/(#REF!*4186)</f>
        <v>#REF!</v>
      </c>
      <c r="AI79" s="19" t="e">
        <f>+$Z79*3600/(#REF!*4186)</f>
        <v>#REF!</v>
      </c>
      <c r="AJ79" s="19" t="e">
        <f>+$Z79*3600/(#REF!*4186)</f>
        <v>#REF!</v>
      </c>
      <c r="AK79" s="19" t="e">
        <f>+$Z79*3600/(#REF!*4186)</f>
        <v>#REF!</v>
      </c>
      <c r="AL79" s="19"/>
      <c r="AM79" s="19"/>
      <c r="AN79" s="19"/>
      <c r="AO79" s="19" t="e">
        <f>+$Z79*3600/(#REF!*4186)</f>
        <v>#REF!</v>
      </c>
      <c r="AP79" s="19" t="e">
        <f>+$Z79*3600/(#REF!*4186)</f>
        <v>#REF!</v>
      </c>
      <c r="AQ79" s="19"/>
    </row>
    <row r="80" spans="3:43" ht="12.75">
      <c r="C80" s="1"/>
      <c r="D80" s="1"/>
      <c r="E80" s="1"/>
      <c r="F80" s="6"/>
      <c r="J80" s="2" t="s">
        <v>7</v>
      </c>
      <c r="K80" s="2"/>
      <c r="L80">
        <v>0.57752</v>
      </c>
      <c r="M80" s="6"/>
      <c r="N80" s="6"/>
      <c r="O80" s="6"/>
      <c r="Z80" s="18">
        <v>745</v>
      </c>
      <c r="AA80" s="19" t="e">
        <f>+$Z80*3600/(#REF!*4186)</f>
        <v>#REF!</v>
      </c>
      <c r="AB80" s="19" t="e">
        <f>+$Z80*3600/(#REF!*4186)</f>
        <v>#REF!</v>
      </c>
      <c r="AC80" s="19" t="e">
        <f>+$Z80*3600/(#REF!*4186)</f>
        <v>#REF!</v>
      </c>
      <c r="AD80" s="19" t="e">
        <f>+$Z80*3600/(#REF!*4186)</f>
        <v>#REF!</v>
      </c>
      <c r="AE80" s="19" t="e">
        <f>+$Z80*3600/(#REF!*4186)</f>
        <v>#REF!</v>
      </c>
      <c r="AF80" s="19" t="e">
        <f>+$Z80*3600/(#REF!*4186)</f>
        <v>#REF!</v>
      </c>
      <c r="AG80" s="19" t="e">
        <f>+$Z80*3600/(#REF!*4186)</f>
        <v>#REF!</v>
      </c>
      <c r="AH80" s="19" t="e">
        <f>+$Z80*3600/(#REF!*4186)</f>
        <v>#REF!</v>
      </c>
      <c r="AI80" s="19" t="e">
        <f>+$Z80*3600/(#REF!*4186)</f>
        <v>#REF!</v>
      </c>
      <c r="AJ80" s="19" t="e">
        <f>+$Z80*3600/(#REF!*4186)</f>
        <v>#REF!</v>
      </c>
      <c r="AK80" s="19" t="e">
        <f>+$Z80*3600/(#REF!*4186)</f>
        <v>#REF!</v>
      </c>
      <c r="AL80" s="19"/>
      <c r="AM80" s="19"/>
      <c r="AN80" s="19"/>
      <c r="AO80" s="19" t="e">
        <f>+$Z80*3600/(#REF!*4186)</f>
        <v>#REF!</v>
      </c>
      <c r="AP80" s="19" t="e">
        <f>+$Z80*3600/(#REF!*4186)</f>
        <v>#REF!</v>
      </c>
      <c r="AQ80" s="19"/>
    </row>
    <row r="81" spans="3:43" ht="12.75">
      <c r="C81" s="1"/>
      <c r="D81" s="1"/>
      <c r="E81" s="1"/>
      <c r="F81" s="6"/>
      <c r="J81" s="2" t="s">
        <v>8</v>
      </c>
      <c r="K81" s="2"/>
      <c r="L81">
        <v>51.9718</v>
      </c>
      <c r="M81" s="6"/>
      <c r="N81" s="6"/>
      <c r="O81" s="6"/>
      <c r="Z81" s="18">
        <v>750</v>
      </c>
      <c r="AA81" s="19" t="e">
        <f>+$Z81*3600/(#REF!*4186)</f>
        <v>#REF!</v>
      </c>
      <c r="AB81" s="19" t="e">
        <f>+$Z81*3600/(#REF!*4186)</f>
        <v>#REF!</v>
      </c>
      <c r="AC81" s="19" t="e">
        <f>+$Z81*3600/(#REF!*4186)</f>
        <v>#REF!</v>
      </c>
      <c r="AD81" s="19" t="e">
        <f>+$Z81*3600/(#REF!*4186)</f>
        <v>#REF!</v>
      </c>
      <c r="AE81" s="19" t="e">
        <f>+$Z81*3600/(#REF!*4186)</f>
        <v>#REF!</v>
      </c>
      <c r="AF81" s="19" t="e">
        <f>+$Z81*3600/(#REF!*4186)</f>
        <v>#REF!</v>
      </c>
      <c r="AG81" s="19" t="e">
        <f>+$Z81*3600/(#REF!*4186)</f>
        <v>#REF!</v>
      </c>
      <c r="AH81" s="19" t="e">
        <f>+$Z81*3600/(#REF!*4186)</f>
        <v>#REF!</v>
      </c>
      <c r="AI81" s="19" t="e">
        <f>+$Z81*3600/(#REF!*4186)</f>
        <v>#REF!</v>
      </c>
      <c r="AJ81" s="19" t="e">
        <f>+$Z81*3600/(#REF!*4186)</f>
        <v>#REF!</v>
      </c>
      <c r="AK81" s="19" t="e">
        <f>+$Z81*3600/(#REF!*4186)</f>
        <v>#REF!</v>
      </c>
      <c r="AL81" s="19"/>
      <c r="AM81" s="19"/>
      <c r="AN81" s="19"/>
      <c r="AO81" s="19" t="e">
        <f>+$Z81*3600/(#REF!*4186)</f>
        <v>#REF!</v>
      </c>
      <c r="AP81" s="19" t="e">
        <f>+$Z81*3600/(#REF!*4186)</f>
        <v>#REF!</v>
      </c>
      <c r="AQ81" s="19"/>
    </row>
    <row r="82" spans="3:43" ht="12.75">
      <c r="C82" s="1"/>
      <c r="D82" s="1"/>
      <c r="E82" s="1"/>
      <c r="F82" s="6"/>
      <c r="J82" s="2" t="s">
        <v>9</v>
      </c>
      <c r="K82" s="2"/>
      <c r="L82">
        <v>0.17134</v>
      </c>
      <c r="M82" s="6"/>
      <c r="N82" s="6"/>
      <c r="O82" s="6"/>
      <c r="Z82" s="18">
        <v>755</v>
      </c>
      <c r="AA82" s="19" t="e">
        <f>+$Z82*3600/(#REF!*4186)</f>
        <v>#REF!</v>
      </c>
      <c r="AB82" s="19" t="e">
        <f>+$Z82*3600/(#REF!*4186)</f>
        <v>#REF!</v>
      </c>
      <c r="AC82" s="19" t="e">
        <f>+$Z82*3600/(#REF!*4186)</f>
        <v>#REF!</v>
      </c>
      <c r="AD82" s="19" t="e">
        <f>+$Z82*3600/(#REF!*4186)</f>
        <v>#REF!</v>
      </c>
      <c r="AE82" s="19" t="e">
        <f>+$Z82*3600/(#REF!*4186)</f>
        <v>#REF!</v>
      </c>
      <c r="AF82" s="19" t="e">
        <f>+$Z82*3600/(#REF!*4186)</f>
        <v>#REF!</v>
      </c>
      <c r="AG82" s="19" t="e">
        <f>+$Z82*3600/(#REF!*4186)</f>
        <v>#REF!</v>
      </c>
      <c r="AH82" s="19" t="e">
        <f>+$Z82*3600/(#REF!*4186)</f>
        <v>#REF!</v>
      </c>
      <c r="AI82" s="19" t="e">
        <f>+$Z82*3600/(#REF!*4186)</f>
        <v>#REF!</v>
      </c>
      <c r="AJ82" s="19" t="e">
        <f>+$Z82*3600/(#REF!*4186)</f>
        <v>#REF!</v>
      </c>
      <c r="AK82" s="19" t="e">
        <f>+$Z82*3600/(#REF!*4186)</f>
        <v>#REF!</v>
      </c>
      <c r="AL82" s="19"/>
      <c r="AM82" s="19"/>
      <c r="AN82" s="19"/>
      <c r="AO82" s="19" t="e">
        <f>+$Z82*3600/(#REF!*4186)</f>
        <v>#REF!</v>
      </c>
      <c r="AP82" s="19" t="e">
        <f>+$Z82*3600/(#REF!*4186)</f>
        <v>#REF!</v>
      </c>
      <c r="AQ82" s="19"/>
    </row>
    <row r="83" spans="3:43" ht="12.75">
      <c r="C83" s="1"/>
      <c r="D83" s="1"/>
      <c r="E83" s="1"/>
      <c r="F83" s="6"/>
      <c r="J83" s="2" t="s">
        <v>10</v>
      </c>
      <c r="K83" s="2"/>
      <c r="L83">
        <v>581.43298</v>
      </c>
      <c r="M83" s="6"/>
      <c r="N83" s="6"/>
      <c r="O83" s="6"/>
      <c r="Z83" s="18">
        <v>760</v>
      </c>
      <c r="AA83" s="19" t="e">
        <f>+$Z83*3600/(#REF!*4186)</f>
        <v>#REF!</v>
      </c>
      <c r="AB83" s="19" t="e">
        <f>+$Z83*3600/(#REF!*4186)</f>
        <v>#REF!</v>
      </c>
      <c r="AC83" s="19" t="e">
        <f>+$Z83*3600/(#REF!*4186)</f>
        <v>#REF!</v>
      </c>
      <c r="AD83" s="19" t="e">
        <f>+$Z83*3600/(#REF!*4186)</f>
        <v>#REF!</v>
      </c>
      <c r="AE83" s="19" t="e">
        <f>+$Z83*3600/(#REF!*4186)</f>
        <v>#REF!</v>
      </c>
      <c r="AF83" s="19" t="e">
        <f>+$Z83*3600/(#REF!*4186)</f>
        <v>#REF!</v>
      </c>
      <c r="AG83" s="19" t="e">
        <f>+$Z83*3600/(#REF!*4186)</f>
        <v>#REF!</v>
      </c>
      <c r="AH83" s="19" t="e">
        <f>+$Z83*3600/(#REF!*4186)</f>
        <v>#REF!</v>
      </c>
      <c r="AI83" s="19" t="e">
        <f>+$Z83*3600/(#REF!*4186)</f>
        <v>#REF!</v>
      </c>
      <c r="AJ83" s="19" t="e">
        <f>+$Z83*3600/(#REF!*4186)</f>
        <v>#REF!</v>
      </c>
      <c r="AK83" s="19" t="e">
        <f>+$Z83*3600/(#REF!*4186)</f>
        <v>#REF!</v>
      </c>
      <c r="AL83" s="19"/>
      <c r="AM83" s="19"/>
      <c r="AN83" s="19"/>
      <c r="AO83" s="19" t="e">
        <f>+$Z83*3600/(#REF!*4186)</f>
        <v>#REF!</v>
      </c>
      <c r="AP83" s="19" t="e">
        <f>+$Z83*3600/(#REF!*4186)</f>
        <v>#REF!</v>
      </c>
      <c r="AQ83" s="19"/>
    </row>
    <row r="84" spans="3:43" ht="12.75">
      <c r="C84" s="1"/>
      <c r="D84" s="1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  <c r="Z84" s="18">
        <v>765</v>
      </c>
      <c r="AA84" s="19" t="e">
        <f>+$Z84*3600/(#REF!*4186)</f>
        <v>#REF!</v>
      </c>
      <c r="AB84" s="19" t="e">
        <f>+$Z84*3600/(#REF!*4186)</f>
        <v>#REF!</v>
      </c>
      <c r="AC84" s="19" t="e">
        <f>+$Z84*3600/(#REF!*4186)</f>
        <v>#REF!</v>
      </c>
      <c r="AD84" s="19" t="e">
        <f>+$Z84*3600/(#REF!*4186)</f>
        <v>#REF!</v>
      </c>
      <c r="AE84" s="19" t="e">
        <f>+$Z84*3600/(#REF!*4186)</f>
        <v>#REF!</v>
      </c>
      <c r="AF84" s="19" t="e">
        <f>+$Z84*3600/(#REF!*4186)</f>
        <v>#REF!</v>
      </c>
      <c r="AG84" s="19" t="e">
        <f>+$Z84*3600/(#REF!*4186)</f>
        <v>#REF!</v>
      </c>
      <c r="AH84" s="19" t="e">
        <f>+$Z84*3600/(#REF!*4186)</f>
        <v>#REF!</v>
      </c>
      <c r="AI84" s="19" t="e">
        <f>+$Z84*3600/(#REF!*4186)</f>
        <v>#REF!</v>
      </c>
      <c r="AJ84" s="19" t="e">
        <f>+$Z84*3600/(#REF!*4186)</f>
        <v>#REF!</v>
      </c>
      <c r="AK84" s="19" t="e">
        <f>+$Z84*3600/(#REF!*4186)</f>
        <v>#REF!</v>
      </c>
      <c r="AL84" s="19"/>
      <c r="AM84" s="19"/>
      <c r="AN84" s="19"/>
      <c r="AO84" s="19" t="e">
        <f>+$Z84*3600/(#REF!*4186)</f>
        <v>#REF!</v>
      </c>
      <c r="AP84" s="19" t="e">
        <f>+$Z84*3600/(#REF!*4186)</f>
        <v>#REF!</v>
      </c>
      <c r="AQ84" s="19"/>
    </row>
    <row r="85" spans="3:43" ht="12.75">
      <c r="C85" s="1"/>
      <c r="D85" s="1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  <c r="Z85" s="18">
        <v>770</v>
      </c>
      <c r="AA85" s="19" t="e">
        <f>+$Z85*3600/(#REF!*4186)</f>
        <v>#REF!</v>
      </c>
      <c r="AB85" s="19" t="e">
        <f>+$Z85*3600/(#REF!*4186)</f>
        <v>#REF!</v>
      </c>
      <c r="AC85" s="19" t="e">
        <f>+$Z85*3600/(#REF!*4186)</f>
        <v>#REF!</v>
      </c>
      <c r="AD85" s="19" t="e">
        <f>+$Z85*3600/(#REF!*4186)</f>
        <v>#REF!</v>
      </c>
      <c r="AE85" s="19" t="e">
        <f>+$Z85*3600/(#REF!*4186)</f>
        <v>#REF!</v>
      </c>
      <c r="AF85" s="19" t="e">
        <f>+$Z85*3600/(#REF!*4186)</f>
        <v>#REF!</v>
      </c>
      <c r="AG85" s="19" t="e">
        <f>+$Z85*3600/(#REF!*4186)</f>
        <v>#REF!</v>
      </c>
      <c r="AH85" s="19" t="e">
        <f>+$Z85*3600/(#REF!*4186)</f>
        <v>#REF!</v>
      </c>
      <c r="AI85" s="19" t="e">
        <f>+$Z85*3600/(#REF!*4186)</f>
        <v>#REF!</v>
      </c>
      <c r="AJ85" s="19" t="e">
        <f>+$Z85*3600/(#REF!*4186)</f>
        <v>#REF!</v>
      </c>
      <c r="AK85" s="19" t="e">
        <f>+$Z85*3600/(#REF!*4186)</f>
        <v>#REF!</v>
      </c>
      <c r="AL85" s="19"/>
      <c r="AM85" s="19"/>
      <c r="AN85" s="19"/>
      <c r="AO85" s="19" t="e">
        <f>+$Z85*3600/(#REF!*4186)</f>
        <v>#REF!</v>
      </c>
      <c r="AP85" s="19" t="e">
        <f>+$Z85*3600/(#REF!*4186)</f>
        <v>#REF!</v>
      </c>
      <c r="AQ85" s="19"/>
    </row>
  </sheetData>
  <mergeCells count="24">
    <mergeCell ref="AU30:BP33"/>
    <mergeCell ref="H34:L34"/>
    <mergeCell ref="M34:Q34"/>
    <mergeCell ref="R34:V34"/>
    <mergeCell ref="AE34:AI34"/>
    <mergeCell ref="AJ34:AN34"/>
    <mergeCell ref="AO34:AS34"/>
    <mergeCell ref="BB34:BF34"/>
    <mergeCell ref="BG34:BK34"/>
    <mergeCell ref="BL34:BP34"/>
    <mergeCell ref="Q2:R2"/>
    <mergeCell ref="S2:T2"/>
    <mergeCell ref="A30:V33"/>
    <mergeCell ref="X30:AS33"/>
    <mergeCell ref="A1:F1"/>
    <mergeCell ref="H1:M1"/>
    <mergeCell ref="O1:T1"/>
    <mergeCell ref="A2:B2"/>
    <mergeCell ref="C2:D2"/>
    <mergeCell ref="E2:F2"/>
    <mergeCell ref="H2:I2"/>
    <mergeCell ref="J2:K2"/>
    <mergeCell ref="L2:M2"/>
    <mergeCell ref="O2:P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I39"/>
  <sheetViews>
    <sheetView workbookViewId="0" topLeftCell="A1">
      <selection activeCell="B6" sqref="B6"/>
    </sheetView>
  </sheetViews>
  <sheetFormatPr defaultColWidth="9.140625" defaultRowHeight="12.75"/>
  <cols>
    <col min="1" max="1" width="28.140625" style="0" customWidth="1"/>
    <col min="2" max="2" width="17.140625" style="0" customWidth="1"/>
    <col min="3" max="3" width="13.140625" style="0" customWidth="1"/>
    <col min="4" max="4" width="17.140625" style="0" customWidth="1"/>
    <col min="5" max="5" width="13.140625" style="0" customWidth="1"/>
    <col min="6" max="6" width="17.140625" style="0" customWidth="1"/>
    <col min="7" max="7" width="13.140625" style="0" customWidth="1"/>
    <col min="8" max="8" width="17.140625" style="0" customWidth="1"/>
    <col min="9" max="9" width="13.140625" style="0" customWidth="1"/>
    <col min="10" max="10" width="11.57421875" style="0" customWidth="1"/>
    <col min="11" max="11" width="14.7109375" style="0" customWidth="1"/>
    <col min="12" max="12" width="14.00390625" style="0" customWidth="1"/>
    <col min="13" max="13" width="13.8515625" style="0" customWidth="1"/>
    <col min="14" max="16384" width="11.57421875" style="0" customWidth="1"/>
  </cols>
  <sheetData>
    <row r="1" spans="1:9" ht="15">
      <c r="A1" s="23"/>
      <c r="C1" s="23"/>
      <c r="I1" s="23"/>
    </row>
    <row r="2" spans="1:9" ht="15">
      <c r="A2" s="23"/>
      <c r="C2" s="23"/>
      <c r="I2" s="23"/>
    </row>
    <row r="3" spans="1:9" ht="15">
      <c r="A3" s="23"/>
      <c r="B3" s="24"/>
      <c r="C3" s="23"/>
      <c r="D3" s="24"/>
      <c r="F3" s="24"/>
      <c r="I3" s="23"/>
    </row>
    <row r="4" spans="1:9" ht="15">
      <c r="A4" s="23"/>
      <c r="B4" s="247" t="s">
        <v>30</v>
      </c>
      <c r="C4" s="247"/>
      <c r="D4" s="245" t="s">
        <v>31</v>
      </c>
      <c r="E4" s="246"/>
      <c r="F4" s="247" t="s">
        <v>43</v>
      </c>
      <c r="G4" s="248"/>
      <c r="H4" s="247" t="s">
        <v>44</v>
      </c>
      <c r="I4" s="248"/>
    </row>
    <row r="5" spans="1:9" ht="12.75">
      <c r="A5" s="25"/>
      <c r="B5" s="26" t="s">
        <v>32</v>
      </c>
      <c r="C5" s="26" t="s">
        <v>33</v>
      </c>
      <c r="D5" s="26" t="s">
        <v>32</v>
      </c>
      <c r="E5" s="26" t="s">
        <v>33</v>
      </c>
      <c r="F5" s="26" t="s">
        <v>32</v>
      </c>
      <c r="G5" s="26" t="s">
        <v>33</v>
      </c>
      <c r="H5" s="26" t="s">
        <v>32</v>
      </c>
      <c r="I5" s="26" t="s">
        <v>33</v>
      </c>
    </row>
    <row r="6" spans="1:9" ht="12.75">
      <c r="A6" s="27" t="s">
        <v>34</v>
      </c>
      <c r="B6" s="56">
        <f>Katalog_DID600!B5*300/1000-0.088</f>
        <v>2.312</v>
      </c>
      <c r="C6" s="28"/>
      <c r="D6" s="56">
        <f>+B6</f>
        <v>2.312</v>
      </c>
      <c r="E6" s="28"/>
      <c r="F6" s="56">
        <f>+B6</f>
        <v>2.312</v>
      </c>
      <c r="G6" s="28"/>
      <c r="H6" s="56">
        <f>+B6</f>
        <v>2.312</v>
      </c>
      <c r="I6" s="28"/>
    </row>
    <row r="7" spans="1:9" ht="12.75">
      <c r="A7" s="29" t="s">
        <v>35</v>
      </c>
      <c r="B7" s="30">
        <v>12</v>
      </c>
      <c r="C7" s="30"/>
      <c r="D7" s="30">
        <v>4</v>
      </c>
      <c r="E7" s="30"/>
      <c r="F7" s="30">
        <v>8</v>
      </c>
      <c r="G7" s="30"/>
      <c r="H7" s="30">
        <v>8</v>
      </c>
      <c r="I7" s="30"/>
    </row>
    <row r="8" spans="1:9" ht="12.75">
      <c r="A8" s="31" t="s">
        <v>36</v>
      </c>
      <c r="B8" s="16">
        <f>+(B7-1)*2</f>
        <v>22</v>
      </c>
      <c r="C8" s="16">
        <v>2</v>
      </c>
      <c r="D8" s="16">
        <f>+(D7-1)*2</f>
        <v>6</v>
      </c>
      <c r="E8" s="16">
        <v>2</v>
      </c>
      <c r="F8" s="16">
        <f>+(F7-1)*2</f>
        <v>14</v>
      </c>
      <c r="G8" s="16">
        <v>2</v>
      </c>
      <c r="H8" s="16">
        <f>+(H7-1)*2</f>
        <v>14</v>
      </c>
      <c r="I8" s="16">
        <v>2</v>
      </c>
    </row>
    <row r="9" spans="1:9" ht="12.75">
      <c r="A9" s="32" t="s">
        <v>37</v>
      </c>
      <c r="B9" s="16">
        <v>0.7</v>
      </c>
      <c r="C9" s="16">
        <v>0.7</v>
      </c>
      <c r="D9" s="16">
        <v>0.7</v>
      </c>
      <c r="E9" s="16">
        <v>0.7</v>
      </c>
      <c r="F9" s="16">
        <v>0.7</v>
      </c>
      <c r="G9" s="16">
        <v>0.7</v>
      </c>
      <c r="H9" s="16">
        <v>0.7</v>
      </c>
      <c r="I9" s="16">
        <v>0.7</v>
      </c>
    </row>
    <row r="10" spans="1:9" ht="12.75">
      <c r="A10" s="31" t="s">
        <v>38</v>
      </c>
      <c r="B10" s="16">
        <f>+B6*B7</f>
        <v>27.744</v>
      </c>
      <c r="C10" s="16">
        <v>0.4</v>
      </c>
      <c r="D10" s="16">
        <f>+D6*D7</f>
        <v>9.248</v>
      </c>
      <c r="E10" s="16">
        <v>0.4</v>
      </c>
      <c r="F10" s="16">
        <f>+F6*F7</f>
        <v>18.496</v>
      </c>
      <c r="G10" s="16">
        <v>0.4</v>
      </c>
      <c r="H10" s="16">
        <f>+H6*H7</f>
        <v>18.496</v>
      </c>
      <c r="I10" s="16">
        <v>0.4</v>
      </c>
    </row>
    <row r="11" spans="1:9" ht="12.75">
      <c r="A11" s="33" t="s">
        <v>39</v>
      </c>
      <c r="B11" s="16"/>
      <c r="C11" s="16">
        <v>1.5</v>
      </c>
      <c r="D11" s="16"/>
      <c r="E11" s="16">
        <v>1.5</v>
      </c>
      <c r="F11" s="16"/>
      <c r="G11" s="16">
        <v>1.5</v>
      </c>
      <c r="H11" s="16"/>
      <c r="I11" s="16">
        <v>1.5</v>
      </c>
    </row>
    <row r="12" spans="1:9" ht="12.75">
      <c r="A12" s="32" t="s">
        <v>40</v>
      </c>
      <c r="B12" s="16">
        <f>+B9*B8</f>
        <v>15.399999999999999</v>
      </c>
      <c r="C12" s="16">
        <f>+C9*C8+C11</f>
        <v>2.9</v>
      </c>
      <c r="D12" s="16">
        <f>+D9*D8</f>
        <v>4.199999999999999</v>
      </c>
      <c r="E12" s="16">
        <f>+E9*E8+E11</f>
        <v>2.9</v>
      </c>
      <c r="F12" s="16">
        <f>+F9*F8</f>
        <v>9.799999999999999</v>
      </c>
      <c r="G12" s="16">
        <f>+G9*G8+G11</f>
        <v>2.9</v>
      </c>
      <c r="H12" s="16">
        <f>+H9*H8</f>
        <v>9.799999999999999</v>
      </c>
      <c r="I12" s="16">
        <f>+I9*I8+I11</f>
        <v>2.9</v>
      </c>
    </row>
    <row r="13" spans="1:9" ht="12.75">
      <c r="A13" s="34" t="s">
        <v>41</v>
      </c>
      <c r="B13" s="35">
        <v>0.0113</v>
      </c>
      <c r="C13" s="35">
        <v>0.011</v>
      </c>
      <c r="D13" s="35">
        <v>0.0113</v>
      </c>
      <c r="E13" s="35">
        <v>0.011</v>
      </c>
      <c r="F13" s="35">
        <v>0.0113</v>
      </c>
      <c r="G13" s="35">
        <v>0.011</v>
      </c>
      <c r="H13" s="35">
        <v>0.0113</v>
      </c>
      <c r="I13" s="35">
        <v>0.011</v>
      </c>
    </row>
    <row r="14" spans="1:9" ht="12.75">
      <c r="A14" s="36" t="s">
        <v>42</v>
      </c>
      <c r="B14" s="38">
        <f>+Katalog_DID600!$B$13-Katalog_DID600!B20/2</f>
        <v>60.763406449223304</v>
      </c>
      <c r="C14" s="37">
        <f>+B14</f>
        <v>60.763406449223304</v>
      </c>
      <c r="D14" s="38">
        <f>+Katalog_DID600!$D$13-Katalog_DID600!C20/2</f>
        <v>91.5288994757887</v>
      </c>
      <c r="E14" s="37">
        <f>+D14</f>
        <v>91.5288994757887</v>
      </c>
      <c r="F14" s="38">
        <f>+Katalog_DID600!$B$13-Katalog_DID600!D20/2</f>
        <v>60.60470535164072</v>
      </c>
      <c r="G14" s="38">
        <f>+F14</f>
        <v>60.60470535164072</v>
      </c>
      <c r="H14" s="38">
        <f>+Katalog_DID600!$D$13-Katalog_DID600!E20/2</f>
        <v>92.32549108059881</v>
      </c>
      <c r="I14" s="38">
        <f>+H14</f>
        <v>92.32549108059881</v>
      </c>
    </row>
    <row r="26" ht="12.75">
      <c r="A26" s="17"/>
    </row>
    <row r="39" ht="12.75">
      <c r="A39" s="17"/>
    </row>
  </sheetData>
  <mergeCells count="4">
    <mergeCell ref="D4:E4"/>
    <mergeCell ref="F4:G4"/>
    <mergeCell ref="B4:C4"/>
    <mergeCell ref="H4:I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3:K97"/>
  <sheetViews>
    <sheetView workbookViewId="0" topLeftCell="A46">
      <selection activeCell="E72" sqref="E72"/>
    </sheetView>
  </sheetViews>
  <sheetFormatPr defaultColWidth="9.140625" defaultRowHeight="12.75"/>
  <cols>
    <col min="1" max="2" width="11.57421875" style="0" customWidth="1"/>
    <col min="3" max="3" width="8.28125" style="0" bestFit="1" customWidth="1"/>
    <col min="4" max="4" width="36.8515625" style="0" customWidth="1"/>
    <col min="5" max="5" width="32.140625" style="0" customWidth="1"/>
    <col min="6" max="6" width="32.28125" style="0" customWidth="1"/>
    <col min="7" max="7" width="23.00390625" style="0" customWidth="1"/>
    <col min="8" max="8" width="30.421875" style="0" customWidth="1"/>
    <col min="9" max="9" width="41.8515625" style="0" bestFit="1" customWidth="1"/>
    <col min="10" max="10" width="31.421875" style="0" bestFit="1" customWidth="1"/>
    <col min="11" max="11" width="45.57421875" style="0" bestFit="1" customWidth="1"/>
    <col min="12" max="16384" width="11.57421875" style="0" customWidth="1"/>
  </cols>
  <sheetData>
    <row r="3" spans="3:10" ht="12.75">
      <c r="C3" s="87" t="s">
        <v>80</v>
      </c>
      <c r="D3" s="20" t="s">
        <v>76</v>
      </c>
      <c r="E3" s="20" t="s">
        <v>77</v>
      </c>
      <c r="F3" s="20" t="s">
        <v>173</v>
      </c>
      <c r="G3" s="20" t="s">
        <v>171</v>
      </c>
      <c r="H3" s="20" t="s">
        <v>170</v>
      </c>
      <c r="I3" s="20" t="s">
        <v>172</v>
      </c>
      <c r="J3" t="s">
        <v>367</v>
      </c>
    </row>
    <row r="4" spans="3:10" ht="12.75">
      <c r="C4" t="s">
        <v>56</v>
      </c>
      <c r="D4" t="s">
        <v>13</v>
      </c>
      <c r="E4" s="87" t="s">
        <v>431</v>
      </c>
      <c r="F4" s="87" t="s">
        <v>187</v>
      </c>
      <c r="G4" t="s">
        <v>251</v>
      </c>
      <c r="H4" t="s">
        <v>304</v>
      </c>
      <c r="I4" t="s">
        <v>477</v>
      </c>
      <c r="J4" s="42" t="s">
        <v>368</v>
      </c>
    </row>
    <row r="5" spans="3:10" ht="12.75">
      <c r="C5" t="s">
        <v>78</v>
      </c>
      <c r="D5" t="s">
        <v>11</v>
      </c>
      <c r="E5" s="87" t="s">
        <v>432</v>
      </c>
      <c r="F5" t="s">
        <v>188</v>
      </c>
      <c r="G5" t="s">
        <v>252</v>
      </c>
      <c r="H5" t="s">
        <v>305</v>
      </c>
      <c r="I5" t="s">
        <v>478</v>
      </c>
      <c r="J5" s="42" t="s">
        <v>369</v>
      </c>
    </row>
    <row r="6" spans="3:10" ht="12.75">
      <c r="C6" t="s">
        <v>9</v>
      </c>
      <c r="D6" t="s">
        <v>81</v>
      </c>
      <c r="E6" t="s">
        <v>69</v>
      </c>
      <c r="F6" t="s">
        <v>189</v>
      </c>
      <c r="G6" t="s">
        <v>253</v>
      </c>
      <c r="H6" t="s">
        <v>306</v>
      </c>
      <c r="I6" t="s">
        <v>479</v>
      </c>
      <c r="J6" t="s">
        <v>69</v>
      </c>
    </row>
    <row r="7" spans="3:10" ht="12.75">
      <c r="C7" t="s">
        <v>57</v>
      </c>
      <c r="D7" t="s">
        <v>12</v>
      </c>
      <c r="E7" t="s">
        <v>65</v>
      </c>
      <c r="F7" t="s">
        <v>190</v>
      </c>
      <c r="G7" t="s">
        <v>254</v>
      </c>
      <c r="H7" t="s">
        <v>307</v>
      </c>
      <c r="I7" t="s">
        <v>480</v>
      </c>
      <c r="J7" t="s">
        <v>370</v>
      </c>
    </row>
    <row r="8" spans="3:10" ht="12.75">
      <c r="C8" t="s">
        <v>82</v>
      </c>
      <c r="D8" t="s">
        <v>14</v>
      </c>
      <c r="E8" t="s">
        <v>66</v>
      </c>
      <c r="F8" t="s">
        <v>191</v>
      </c>
      <c r="G8" t="s">
        <v>255</v>
      </c>
      <c r="H8" t="s">
        <v>308</v>
      </c>
      <c r="I8" t="s">
        <v>481</v>
      </c>
      <c r="J8" t="s">
        <v>371</v>
      </c>
    </row>
    <row r="9" spans="3:10" ht="12.75">
      <c r="C9" t="s">
        <v>83</v>
      </c>
      <c r="D9" t="s">
        <v>12</v>
      </c>
      <c r="E9" t="s">
        <v>65</v>
      </c>
      <c r="F9" t="s">
        <v>190</v>
      </c>
      <c r="G9" t="s">
        <v>254</v>
      </c>
      <c r="H9" t="s">
        <v>307</v>
      </c>
      <c r="I9" t="s">
        <v>480</v>
      </c>
      <c r="J9" t="s">
        <v>370</v>
      </c>
    </row>
    <row r="10" spans="3:10" ht="12.75">
      <c r="C10" t="s">
        <v>84</v>
      </c>
      <c r="D10" t="s">
        <v>14</v>
      </c>
      <c r="E10" t="s">
        <v>66</v>
      </c>
      <c r="F10" t="s">
        <v>191</v>
      </c>
      <c r="G10" t="s">
        <v>255</v>
      </c>
      <c r="H10" t="s">
        <v>308</v>
      </c>
      <c r="I10" t="s">
        <v>481</v>
      </c>
      <c r="J10" t="s">
        <v>371</v>
      </c>
    </row>
    <row r="11" spans="3:10" ht="12.75">
      <c r="C11" t="s">
        <v>85</v>
      </c>
      <c r="D11" t="s">
        <v>26</v>
      </c>
      <c r="E11" s="87" t="s">
        <v>62</v>
      </c>
      <c r="F11" t="s">
        <v>192</v>
      </c>
      <c r="G11" t="s">
        <v>256</v>
      </c>
      <c r="H11" t="s">
        <v>309</v>
      </c>
      <c r="I11" t="s">
        <v>482</v>
      </c>
      <c r="J11" s="42" t="s">
        <v>372</v>
      </c>
    </row>
    <row r="12" spans="3:10" ht="12.75">
      <c r="C12" t="s">
        <v>86</v>
      </c>
      <c r="D12" s="87" t="s">
        <v>445</v>
      </c>
      <c r="E12" s="87" t="s">
        <v>63</v>
      </c>
      <c r="F12" t="s">
        <v>193</v>
      </c>
      <c r="G12" t="s">
        <v>257</v>
      </c>
      <c r="H12" t="s">
        <v>310</v>
      </c>
      <c r="I12" t="s">
        <v>483</v>
      </c>
      <c r="J12" s="42" t="s">
        <v>426</v>
      </c>
    </row>
    <row r="13" spans="3:10" ht="12.75">
      <c r="C13" t="s">
        <v>87</v>
      </c>
      <c r="D13" t="s">
        <v>89</v>
      </c>
      <c r="E13" t="s">
        <v>64</v>
      </c>
      <c r="F13" t="s">
        <v>194</v>
      </c>
      <c r="G13" t="s">
        <v>258</v>
      </c>
      <c r="H13" t="s">
        <v>311</v>
      </c>
      <c r="I13" t="s">
        <v>484</v>
      </c>
      <c r="J13" t="s">
        <v>373</v>
      </c>
    </row>
    <row r="14" spans="3:10" ht="12.75">
      <c r="C14" t="s">
        <v>88</v>
      </c>
      <c r="D14" t="s">
        <v>90</v>
      </c>
      <c r="E14" s="87" t="s">
        <v>150</v>
      </c>
      <c r="F14" t="s">
        <v>195</v>
      </c>
      <c r="G14" t="s">
        <v>259</v>
      </c>
      <c r="H14" t="s">
        <v>312</v>
      </c>
      <c r="I14" t="s">
        <v>485</v>
      </c>
      <c r="J14" s="42" t="s">
        <v>374</v>
      </c>
    </row>
    <row r="15" spans="3:10" ht="12.75">
      <c r="C15" t="s">
        <v>93</v>
      </c>
      <c r="D15" t="s">
        <v>99</v>
      </c>
      <c r="E15" s="87" t="s">
        <v>151</v>
      </c>
      <c r="F15" t="s">
        <v>196</v>
      </c>
      <c r="G15" t="s">
        <v>260</v>
      </c>
      <c r="H15" t="s">
        <v>313</v>
      </c>
      <c r="I15" t="s">
        <v>486</v>
      </c>
      <c r="J15" s="42" t="s">
        <v>375</v>
      </c>
    </row>
    <row r="16" spans="3:10" ht="12.75">
      <c r="C16" t="s">
        <v>94</v>
      </c>
      <c r="D16" t="s">
        <v>100</v>
      </c>
      <c r="E16" t="s">
        <v>152</v>
      </c>
      <c r="F16" t="s">
        <v>197</v>
      </c>
      <c r="G16" t="s">
        <v>261</v>
      </c>
      <c r="H16" t="s">
        <v>314</v>
      </c>
      <c r="I16" t="s">
        <v>487</v>
      </c>
      <c r="J16" t="s">
        <v>376</v>
      </c>
    </row>
    <row r="17" spans="3:10" ht="12.75">
      <c r="C17" t="s">
        <v>95</v>
      </c>
      <c r="D17" t="s">
        <v>101</v>
      </c>
      <c r="E17" s="87" t="s">
        <v>153</v>
      </c>
      <c r="F17" t="s">
        <v>198</v>
      </c>
      <c r="G17" s="87" t="s">
        <v>282</v>
      </c>
      <c r="H17" s="42" t="s">
        <v>315</v>
      </c>
      <c r="I17" t="s">
        <v>488</v>
      </c>
      <c r="J17" s="42" t="s">
        <v>377</v>
      </c>
    </row>
    <row r="18" spans="3:10" ht="12.75">
      <c r="C18" t="s">
        <v>96</v>
      </c>
      <c r="D18" t="s">
        <v>429</v>
      </c>
      <c r="E18" s="87" t="s">
        <v>430</v>
      </c>
      <c r="F18" t="s">
        <v>199</v>
      </c>
      <c r="G18" s="87" t="s">
        <v>283</v>
      </c>
      <c r="H18" s="42" t="s">
        <v>316</v>
      </c>
      <c r="I18" t="s">
        <v>283</v>
      </c>
      <c r="J18" s="42" t="s">
        <v>378</v>
      </c>
    </row>
    <row r="19" spans="3:10" ht="12.75">
      <c r="C19" t="s">
        <v>97</v>
      </c>
      <c r="D19" s="87" t="s">
        <v>91</v>
      </c>
      <c r="E19" s="87" t="s">
        <v>154</v>
      </c>
      <c r="F19" t="s">
        <v>200</v>
      </c>
      <c r="G19" s="87" t="s">
        <v>284</v>
      </c>
      <c r="H19" s="42" t="s">
        <v>317</v>
      </c>
      <c r="I19" t="s">
        <v>489</v>
      </c>
      <c r="J19" s="42" t="s">
        <v>379</v>
      </c>
    </row>
    <row r="20" spans="3:10" ht="12.75">
      <c r="C20" t="s">
        <v>98</v>
      </c>
      <c r="D20" t="s">
        <v>24</v>
      </c>
      <c r="E20" t="s">
        <v>70</v>
      </c>
      <c r="F20" t="s">
        <v>201</v>
      </c>
      <c r="G20" t="s">
        <v>262</v>
      </c>
      <c r="H20" s="42" t="s">
        <v>318</v>
      </c>
      <c r="I20" t="s">
        <v>490</v>
      </c>
      <c r="J20" t="s">
        <v>380</v>
      </c>
    </row>
    <row r="21" spans="3:10" ht="12.75">
      <c r="C21" t="s">
        <v>102</v>
      </c>
      <c r="D21" s="87" t="s">
        <v>103</v>
      </c>
      <c r="E21" s="87" t="s">
        <v>155</v>
      </c>
      <c r="F21" t="s">
        <v>202</v>
      </c>
      <c r="G21" s="87" t="s">
        <v>285</v>
      </c>
      <c r="H21" s="42" t="s">
        <v>319</v>
      </c>
      <c r="I21" t="s">
        <v>491</v>
      </c>
      <c r="J21" s="42" t="s">
        <v>381</v>
      </c>
    </row>
    <row r="22" spans="3:10" ht="12.75">
      <c r="C22" t="s">
        <v>104</v>
      </c>
      <c r="D22" t="s">
        <v>108</v>
      </c>
      <c r="E22" s="87" t="s">
        <v>156</v>
      </c>
      <c r="F22" t="s">
        <v>203</v>
      </c>
      <c r="G22" s="87" t="s">
        <v>286</v>
      </c>
      <c r="H22" s="42" t="s">
        <v>320</v>
      </c>
      <c r="I22" t="s">
        <v>492</v>
      </c>
      <c r="J22" s="42" t="s">
        <v>382</v>
      </c>
    </row>
    <row r="23" spans="3:10" ht="12.75">
      <c r="C23" t="s">
        <v>105</v>
      </c>
      <c r="D23" t="s">
        <v>109</v>
      </c>
      <c r="E23" s="87" t="s">
        <v>157</v>
      </c>
      <c r="F23" t="s">
        <v>204</v>
      </c>
      <c r="G23" s="87" t="s">
        <v>287</v>
      </c>
      <c r="H23" s="42" t="s">
        <v>321</v>
      </c>
      <c r="I23" t="s">
        <v>493</v>
      </c>
      <c r="J23" s="42" t="s">
        <v>383</v>
      </c>
    </row>
    <row r="24" spans="3:10" ht="12.75">
      <c r="C24" t="s">
        <v>106</v>
      </c>
      <c r="D24" t="s">
        <v>110</v>
      </c>
      <c r="E24" s="87" t="s">
        <v>158</v>
      </c>
      <c r="F24" t="s">
        <v>205</v>
      </c>
      <c r="G24" s="87" t="s">
        <v>288</v>
      </c>
      <c r="H24" s="42" t="s">
        <v>322</v>
      </c>
      <c r="I24" t="s">
        <v>494</v>
      </c>
      <c r="J24" s="42" t="s">
        <v>384</v>
      </c>
    </row>
    <row r="25" spans="3:10" ht="12.75">
      <c r="C25" t="s">
        <v>107</v>
      </c>
      <c r="D25" s="87" t="s">
        <v>440</v>
      </c>
      <c r="E25" s="87" t="s">
        <v>438</v>
      </c>
      <c r="F25" s="87" t="s">
        <v>438</v>
      </c>
      <c r="G25" t="s">
        <v>263</v>
      </c>
      <c r="H25" s="42" t="s">
        <v>323</v>
      </c>
      <c r="I25" t="s">
        <v>495</v>
      </c>
      <c r="J25" s="42" t="s">
        <v>385</v>
      </c>
    </row>
    <row r="26" spans="3:10" ht="12.75">
      <c r="C26" t="s">
        <v>114</v>
      </c>
      <c r="D26" s="87" t="s">
        <v>386</v>
      </c>
      <c r="E26" s="87" t="s">
        <v>324</v>
      </c>
      <c r="F26" s="87" t="s">
        <v>439</v>
      </c>
      <c r="G26" t="s">
        <v>264</v>
      </c>
      <c r="H26" s="42" t="s">
        <v>324</v>
      </c>
      <c r="I26" t="s">
        <v>496</v>
      </c>
      <c r="J26" s="42" t="s">
        <v>386</v>
      </c>
    </row>
    <row r="27" spans="3:10" ht="12.75">
      <c r="C27" t="s">
        <v>115</v>
      </c>
      <c r="D27" t="s">
        <v>92</v>
      </c>
      <c r="E27" t="s">
        <v>92</v>
      </c>
      <c r="F27" t="s">
        <v>92</v>
      </c>
      <c r="G27" t="s">
        <v>92</v>
      </c>
      <c r="H27" s="42" t="s">
        <v>92</v>
      </c>
      <c r="I27" t="s">
        <v>497</v>
      </c>
      <c r="J27" t="s">
        <v>92</v>
      </c>
    </row>
    <row r="28" spans="2:10" ht="12.75">
      <c r="B28" s="125"/>
      <c r="C28" s="125" t="s">
        <v>116</v>
      </c>
      <c r="D28" s="125" t="s">
        <v>111</v>
      </c>
      <c r="E28" s="126" t="s">
        <v>159</v>
      </c>
      <c r="F28" t="s">
        <v>159</v>
      </c>
      <c r="G28" s="87" t="s">
        <v>289</v>
      </c>
      <c r="H28" s="42" t="s">
        <v>325</v>
      </c>
      <c r="I28" t="s">
        <v>498</v>
      </c>
      <c r="J28" s="145" t="s">
        <v>387</v>
      </c>
    </row>
    <row r="29" spans="2:10" ht="12.75">
      <c r="B29" s="125"/>
      <c r="C29" s="125" t="s">
        <v>117</v>
      </c>
      <c r="D29" s="125" t="s">
        <v>112</v>
      </c>
      <c r="E29" s="126" t="s">
        <v>160</v>
      </c>
      <c r="F29" t="s">
        <v>206</v>
      </c>
      <c r="G29" s="87" t="s">
        <v>290</v>
      </c>
      <c r="H29" s="42" t="s">
        <v>160</v>
      </c>
      <c r="I29" t="s">
        <v>499</v>
      </c>
      <c r="J29" s="145" t="s">
        <v>112</v>
      </c>
    </row>
    <row r="30" spans="2:10" ht="12.75">
      <c r="B30" s="125"/>
      <c r="C30" s="125" t="s">
        <v>118</v>
      </c>
      <c r="D30" s="125" t="s">
        <v>113</v>
      </c>
      <c r="E30" s="125" t="s">
        <v>565</v>
      </c>
      <c r="F30" t="s">
        <v>113</v>
      </c>
      <c r="G30" t="s">
        <v>113</v>
      </c>
      <c r="H30" s="42" t="s">
        <v>113</v>
      </c>
      <c r="I30" t="s">
        <v>113</v>
      </c>
      <c r="J30" s="125" t="s">
        <v>113</v>
      </c>
    </row>
    <row r="31" spans="2:10" ht="12.75">
      <c r="B31" s="125"/>
      <c r="C31" s="125" t="s">
        <v>119</v>
      </c>
      <c r="D31" s="125" t="s">
        <v>71</v>
      </c>
      <c r="E31" s="125" t="s">
        <v>71</v>
      </c>
      <c r="F31" t="s">
        <v>71</v>
      </c>
      <c r="G31" t="s">
        <v>71</v>
      </c>
      <c r="H31" s="42" t="s">
        <v>71</v>
      </c>
      <c r="I31" t="s">
        <v>71</v>
      </c>
      <c r="J31" s="125" t="s">
        <v>71</v>
      </c>
    </row>
    <row r="32" spans="2:10" ht="12.75">
      <c r="B32" s="125"/>
      <c r="C32" t="s">
        <v>124</v>
      </c>
      <c r="D32" t="s">
        <v>120</v>
      </c>
      <c r="E32" t="s">
        <v>120</v>
      </c>
      <c r="F32" t="s">
        <v>120</v>
      </c>
      <c r="G32" t="s">
        <v>120</v>
      </c>
      <c r="H32" s="42" t="s">
        <v>120</v>
      </c>
      <c r="I32" t="s">
        <v>120</v>
      </c>
      <c r="J32" t="s">
        <v>120</v>
      </c>
    </row>
    <row r="33" spans="2:10" ht="12.75">
      <c r="B33" s="125"/>
      <c r="C33" t="s">
        <v>125</v>
      </c>
      <c r="D33" t="s">
        <v>121</v>
      </c>
      <c r="E33" t="s">
        <v>121</v>
      </c>
      <c r="F33" t="s">
        <v>121</v>
      </c>
      <c r="G33" t="s">
        <v>121</v>
      </c>
      <c r="H33" s="42" t="s">
        <v>121</v>
      </c>
      <c r="I33" t="s">
        <v>121</v>
      </c>
      <c r="J33" t="s">
        <v>121</v>
      </c>
    </row>
    <row r="34" spans="3:10" ht="12.75">
      <c r="C34" t="s">
        <v>126</v>
      </c>
      <c r="D34" t="s">
        <v>122</v>
      </c>
      <c r="E34" t="s">
        <v>122</v>
      </c>
      <c r="F34" t="s">
        <v>122</v>
      </c>
      <c r="G34" t="s">
        <v>122</v>
      </c>
      <c r="H34" s="42" t="s">
        <v>122</v>
      </c>
      <c r="I34" t="s">
        <v>122</v>
      </c>
      <c r="J34" t="s">
        <v>122</v>
      </c>
    </row>
    <row r="35" spans="3:10" ht="12.75">
      <c r="C35" t="s">
        <v>127</v>
      </c>
      <c r="D35" t="s">
        <v>60</v>
      </c>
      <c r="E35" t="s">
        <v>563</v>
      </c>
      <c r="F35" t="s">
        <v>60</v>
      </c>
      <c r="G35" t="s">
        <v>60</v>
      </c>
      <c r="H35" s="42" t="s">
        <v>326</v>
      </c>
      <c r="I35" t="s">
        <v>500</v>
      </c>
      <c r="J35" t="s">
        <v>388</v>
      </c>
    </row>
    <row r="36" spans="2:10" ht="12.75">
      <c r="B36" s="125"/>
      <c r="C36" s="126" t="s">
        <v>446</v>
      </c>
      <c r="D36" s="125" t="s">
        <v>61</v>
      </c>
      <c r="E36" s="126" t="s">
        <v>67</v>
      </c>
      <c r="F36" s="87" t="s">
        <v>207</v>
      </c>
      <c r="G36" t="s">
        <v>265</v>
      </c>
      <c r="H36" s="42" t="s">
        <v>327</v>
      </c>
      <c r="I36" t="s">
        <v>501</v>
      </c>
      <c r="J36" s="145" t="s">
        <v>389</v>
      </c>
    </row>
    <row r="37" spans="2:10" ht="12.75">
      <c r="B37" s="125"/>
      <c r="C37" s="126" t="s">
        <v>128</v>
      </c>
      <c r="D37" s="125" t="s">
        <v>123</v>
      </c>
      <c r="E37" s="126" t="s">
        <v>296</v>
      </c>
      <c r="F37" s="87" t="s">
        <v>297</v>
      </c>
      <c r="G37" s="126" t="s">
        <v>298</v>
      </c>
      <c r="H37" s="42" t="s">
        <v>328</v>
      </c>
      <c r="I37" t="s">
        <v>502</v>
      </c>
      <c r="J37" s="145" t="s">
        <v>390</v>
      </c>
    </row>
    <row r="38" spans="2:10" ht="12.75">
      <c r="B38" s="125"/>
      <c r="C38" s="125" t="s">
        <v>129</v>
      </c>
      <c r="D38" s="126" t="s">
        <v>73</v>
      </c>
      <c r="E38" s="126" t="s">
        <v>132</v>
      </c>
      <c r="F38" t="s">
        <v>132</v>
      </c>
      <c r="G38" s="125" t="s">
        <v>266</v>
      </c>
      <c r="H38" s="42" t="s">
        <v>329</v>
      </c>
      <c r="I38" t="s">
        <v>503</v>
      </c>
      <c r="J38" s="145" t="s">
        <v>73</v>
      </c>
    </row>
    <row r="39" spans="2:10" ht="12.75">
      <c r="B39" s="125"/>
      <c r="C39" s="125" t="s">
        <v>130</v>
      </c>
      <c r="D39" s="125" t="s">
        <v>74</v>
      </c>
      <c r="E39" s="125" t="s">
        <v>161</v>
      </c>
      <c r="F39" t="s">
        <v>208</v>
      </c>
      <c r="G39" s="125" t="s">
        <v>267</v>
      </c>
      <c r="H39" s="42" t="s">
        <v>330</v>
      </c>
      <c r="I39" t="s">
        <v>504</v>
      </c>
      <c r="J39" s="125" t="s">
        <v>391</v>
      </c>
    </row>
    <row r="40" spans="2:10" ht="12.75">
      <c r="B40" s="125"/>
      <c r="C40" s="125" t="s">
        <v>131</v>
      </c>
      <c r="D40" s="125" t="s">
        <v>75</v>
      </c>
      <c r="E40" s="125" t="s">
        <v>162</v>
      </c>
      <c r="F40" t="s">
        <v>209</v>
      </c>
      <c r="G40" t="s">
        <v>268</v>
      </c>
      <c r="H40" s="42" t="s">
        <v>331</v>
      </c>
      <c r="I40" t="s">
        <v>505</v>
      </c>
      <c r="J40" s="125" t="s">
        <v>392</v>
      </c>
    </row>
    <row r="41" spans="2:10" ht="12.75">
      <c r="B41" s="125"/>
      <c r="C41" s="125" t="s">
        <v>7</v>
      </c>
      <c r="D41" s="126" t="s">
        <v>460</v>
      </c>
      <c r="E41" s="126" t="s">
        <v>461</v>
      </c>
      <c r="F41" s="87" t="s">
        <v>462</v>
      </c>
      <c r="G41" s="126" t="s">
        <v>463</v>
      </c>
      <c r="H41" s="42" t="s">
        <v>332</v>
      </c>
      <c r="I41" s="87" t="s">
        <v>543</v>
      </c>
      <c r="J41" s="145" t="s">
        <v>464</v>
      </c>
    </row>
    <row r="42" spans="2:10" ht="12.75">
      <c r="B42" s="125"/>
      <c r="C42" s="125" t="s">
        <v>133</v>
      </c>
      <c r="D42" s="125" t="s">
        <v>22</v>
      </c>
      <c r="E42" s="125" t="s">
        <v>65</v>
      </c>
      <c r="F42" t="s">
        <v>190</v>
      </c>
      <c r="G42" s="125" t="s">
        <v>254</v>
      </c>
      <c r="H42" s="42" t="s">
        <v>307</v>
      </c>
      <c r="I42" t="s">
        <v>480</v>
      </c>
      <c r="J42" s="125" t="s">
        <v>393</v>
      </c>
    </row>
    <row r="43" spans="2:10" ht="12.75">
      <c r="B43" s="125"/>
      <c r="C43" s="125" t="s">
        <v>134</v>
      </c>
      <c r="D43" s="125" t="s">
        <v>23</v>
      </c>
      <c r="E43" s="125" t="s">
        <v>66</v>
      </c>
      <c r="F43" t="s">
        <v>191</v>
      </c>
      <c r="G43" t="s">
        <v>255</v>
      </c>
      <c r="H43" s="42" t="s">
        <v>308</v>
      </c>
      <c r="I43" t="s">
        <v>481</v>
      </c>
      <c r="J43" s="125" t="s">
        <v>394</v>
      </c>
    </row>
    <row r="44" spans="2:10" ht="12.75">
      <c r="B44" s="125"/>
      <c r="C44" s="125" t="s">
        <v>427</v>
      </c>
      <c r="D44" s="125" t="s">
        <v>72</v>
      </c>
      <c r="E44" s="125" t="s">
        <v>164</v>
      </c>
      <c r="F44" t="s">
        <v>210</v>
      </c>
      <c r="G44" t="s">
        <v>269</v>
      </c>
      <c r="H44" s="42" t="s">
        <v>333</v>
      </c>
      <c r="I44" t="s">
        <v>506</v>
      </c>
      <c r="J44" s="125" t="s">
        <v>395</v>
      </c>
    </row>
    <row r="45" spans="3:10" ht="12.75">
      <c r="C45" t="s">
        <v>428</v>
      </c>
      <c r="D45" t="s">
        <v>15</v>
      </c>
      <c r="E45" t="s">
        <v>163</v>
      </c>
      <c r="F45" t="s">
        <v>211</v>
      </c>
      <c r="G45" t="s">
        <v>270</v>
      </c>
      <c r="H45" s="42" t="s">
        <v>334</v>
      </c>
      <c r="I45" t="s">
        <v>507</v>
      </c>
      <c r="J45" t="s">
        <v>396</v>
      </c>
    </row>
    <row r="46" spans="3:10" ht="12.75">
      <c r="C46" t="s">
        <v>135</v>
      </c>
      <c r="D46" t="s">
        <v>13</v>
      </c>
      <c r="E46" s="87" t="s">
        <v>431</v>
      </c>
      <c r="F46" t="s">
        <v>187</v>
      </c>
      <c r="G46" t="s">
        <v>251</v>
      </c>
      <c r="H46" s="42" t="s">
        <v>304</v>
      </c>
      <c r="I46" t="s">
        <v>477</v>
      </c>
      <c r="J46" s="42" t="s">
        <v>368</v>
      </c>
    </row>
    <row r="47" spans="3:10" ht="12.75">
      <c r="C47" t="s">
        <v>136</v>
      </c>
      <c r="D47" t="s">
        <v>12</v>
      </c>
      <c r="E47" t="s">
        <v>65</v>
      </c>
      <c r="F47" t="s">
        <v>190</v>
      </c>
      <c r="G47" t="s">
        <v>254</v>
      </c>
      <c r="H47" s="42" t="s">
        <v>307</v>
      </c>
      <c r="I47" t="s">
        <v>480</v>
      </c>
      <c r="J47" t="s">
        <v>370</v>
      </c>
    </row>
    <row r="48" spans="3:10" ht="12.75">
      <c r="C48" t="s">
        <v>137</v>
      </c>
      <c r="D48" t="s">
        <v>14</v>
      </c>
      <c r="E48" t="s">
        <v>66</v>
      </c>
      <c r="F48" t="s">
        <v>191</v>
      </c>
      <c r="G48" t="s">
        <v>255</v>
      </c>
      <c r="H48" s="42" t="s">
        <v>308</v>
      </c>
      <c r="I48" t="s">
        <v>481</v>
      </c>
      <c r="J48" t="s">
        <v>371</v>
      </c>
    </row>
    <row r="49" spans="3:10" ht="12.75">
      <c r="C49" t="s">
        <v>138</v>
      </c>
      <c r="D49" t="s">
        <v>11</v>
      </c>
      <c r="E49" s="87" t="s">
        <v>432</v>
      </c>
      <c r="F49" t="s">
        <v>188</v>
      </c>
      <c r="G49" t="s">
        <v>252</v>
      </c>
      <c r="H49" s="42" t="s">
        <v>305</v>
      </c>
      <c r="I49" t="s">
        <v>478</v>
      </c>
      <c r="J49" s="42" t="s">
        <v>369</v>
      </c>
    </row>
    <row r="50" spans="3:10" ht="12.75">
      <c r="C50" t="s">
        <v>139</v>
      </c>
      <c r="D50" t="s">
        <v>12</v>
      </c>
      <c r="E50" t="s">
        <v>65</v>
      </c>
      <c r="F50" t="s">
        <v>190</v>
      </c>
      <c r="G50" t="s">
        <v>254</v>
      </c>
      <c r="H50" s="42" t="s">
        <v>307</v>
      </c>
      <c r="I50" t="s">
        <v>480</v>
      </c>
      <c r="J50" t="s">
        <v>370</v>
      </c>
    </row>
    <row r="51" spans="3:10" ht="12.75">
      <c r="C51" t="s">
        <v>140</v>
      </c>
      <c r="D51" t="s">
        <v>14</v>
      </c>
      <c r="E51" t="s">
        <v>66</v>
      </c>
      <c r="F51" t="s">
        <v>191</v>
      </c>
      <c r="G51" t="s">
        <v>255</v>
      </c>
      <c r="H51" s="42" t="s">
        <v>308</v>
      </c>
      <c r="I51" t="s">
        <v>481</v>
      </c>
      <c r="J51" t="s">
        <v>371</v>
      </c>
    </row>
    <row r="52" spans="3:10" ht="12.75">
      <c r="C52" t="s">
        <v>141</v>
      </c>
      <c r="D52" t="s">
        <v>25</v>
      </c>
      <c r="E52" t="s">
        <v>68</v>
      </c>
      <c r="F52" t="s">
        <v>212</v>
      </c>
      <c r="G52" t="s">
        <v>271</v>
      </c>
      <c r="H52" s="42" t="s">
        <v>335</v>
      </c>
      <c r="I52" t="s">
        <v>508</v>
      </c>
      <c r="J52" t="s">
        <v>397</v>
      </c>
    </row>
    <row r="53" spans="3:10" ht="12.75">
      <c r="C53" t="s">
        <v>142</v>
      </c>
      <c r="D53" t="s">
        <v>148</v>
      </c>
      <c r="E53" s="87" t="s">
        <v>166</v>
      </c>
      <c r="F53" t="s">
        <v>213</v>
      </c>
      <c r="G53" t="s">
        <v>272</v>
      </c>
      <c r="H53" s="42" t="s">
        <v>313</v>
      </c>
      <c r="I53" t="s">
        <v>486</v>
      </c>
      <c r="J53" s="42" t="s">
        <v>398</v>
      </c>
    </row>
    <row r="54" spans="3:10" ht="12.75">
      <c r="C54" t="s">
        <v>143</v>
      </c>
      <c r="D54" t="s">
        <v>149</v>
      </c>
      <c r="E54" s="87" t="s">
        <v>165</v>
      </c>
      <c r="F54" t="s">
        <v>149</v>
      </c>
      <c r="G54" t="s">
        <v>273</v>
      </c>
      <c r="H54" s="42" t="s">
        <v>336</v>
      </c>
      <c r="I54" t="s">
        <v>509</v>
      </c>
      <c r="J54" s="42" t="s">
        <v>399</v>
      </c>
    </row>
    <row r="55" spans="3:10" ht="12.75">
      <c r="C55" t="s">
        <v>144</v>
      </c>
      <c r="D55" t="s">
        <v>20</v>
      </c>
      <c r="E55" t="s">
        <v>20</v>
      </c>
      <c r="F55" t="s">
        <v>20</v>
      </c>
      <c r="G55" t="s">
        <v>274</v>
      </c>
      <c r="H55" s="42" t="s">
        <v>20</v>
      </c>
      <c r="I55" t="s">
        <v>20</v>
      </c>
      <c r="J55" t="s">
        <v>20</v>
      </c>
    </row>
    <row r="56" spans="3:10" ht="12.75">
      <c r="C56" t="s">
        <v>145</v>
      </c>
      <c r="D56" t="s">
        <v>21</v>
      </c>
      <c r="E56" t="s">
        <v>21</v>
      </c>
      <c r="F56" t="s">
        <v>21</v>
      </c>
      <c r="G56" t="s">
        <v>275</v>
      </c>
      <c r="H56" s="42" t="s">
        <v>21</v>
      </c>
      <c r="I56" t="s">
        <v>21</v>
      </c>
      <c r="J56" t="s">
        <v>21</v>
      </c>
    </row>
    <row r="57" spans="3:10" ht="12.75">
      <c r="C57" t="s">
        <v>146</v>
      </c>
      <c r="D57" t="s">
        <v>18</v>
      </c>
      <c r="E57" t="s">
        <v>18</v>
      </c>
      <c r="F57" t="s">
        <v>18</v>
      </c>
      <c r="G57" t="s">
        <v>18</v>
      </c>
      <c r="H57" s="42" t="s">
        <v>18</v>
      </c>
      <c r="I57" t="s">
        <v>18</v>
      </c>
      <c r="J57" t="s">
        <v>18</v>
      </c>
    </row>
    <row r="58" spans="3:10" ht="12.75">
      <c r="C58" t="s">
        <v>147</v>
      </c>
      <c r="D58" t="s">
        <v>19</v>
      </c>
      <c r="E58" t="s">
        <v>19</v>
      </c>
      <c r="F58" t="s">
        <v>19</v>
      </c>
      <c r="G58" t="s">
        <v>19</v>
      </c>
      <c r="H58" s="42" t="s">
        <v>19</v>
      </c>
      <c r="I58" t="s">
        <v>19</v>
      </c>
      <c r="J58" t="s">
        <v>19</v>
      </c>
    </row>
    <row r="59" spans="3:10" ht="12.75">
      <c r="C59" t="s">
        <v>222</v>
      </c>
      <c r="D59" t="s">
        <v>79</v>
      </c>
      <c r="E59" t="s">
        <v>167</v>
      </c>
      <c r="F59" t="s">
        <v>214</v>
      </c>
      <c r="G59" t="s">
        <v>276</v>
      </c>
      <c r="H59" s="42" t="s">
        <v>337</v>
      </c>
      <c r="I59" t="s">
        <v>510</v>
      </c>
      <c r="J59" t="s">
        <v>400</v>
      </c>
    </row>
    <row r="60" spans="3:10" ht="12.75">
      <c r="C60" s="87" t="s">
        <v>174</v>
      </c>
      <c r="D60" s="87" t="s">
        <v>108</v>
      </c>
      <c r="E60" s="87" t="s">
        <v>156</v>
      </c>
      <c r="F60" t="s">
        <v>203</v>
      </c>
      <c r="G60" s="87" t="s">
        <v>286</v>
      </c>
      <c r="H60" s="42" t="s">
        <v>320</v>
      </c>
      <c r="I60" t="s">
        <v>511</v>
      </c>
      <c r="J60" s="42" t="s">
        <v>382</v>
      </c>
    </row>
    <row r="61" spans="4:10" ht="12.75">
      <c r="D61" s="87" t="s">
        <v>175</v>
      </c>
      <c r="E61" t="s">
        <v>176</v>
      </c>
      <c r="F61" t="s">
        <v>215</v>
      </c>
      <c r="G61" t="s">
        <v>277</v>
      </c>
      <c r="H61" s="42" t="s">
        <v>338</v>
      </c>
      <c r="I61" t="s">
        <v>512</v>
      </c>
      <c r="J61" t="s">
        <v>401</v>
      </c>
    </row>
    <row r="62" spans="4:10" ht="12.75">
      <c r="D62" s="128" t="s">
        <v>177</v>
      </c>
      <c r="E62" s="87" t="s">
        <v>571</v>
      </c>
      <c r="F62" t="s">
        <v>216</v>
      </c>
      <c r="G62" t="s">
        <v>278</v>
      </c>
      <c r="H62" s="42" t="s">
        <v>339</v>
      </c>
      <c r="I62" t="s">
        <v>513</v>
      </c>
      <c r="J62" s="42" t="s">
        <v>402</v>
      </c>
    </row>
    <row r="63" spans="4:10" ht="12.75">
      <c r="D63" t="s">
        <v>178</v>
      </c>
      <c r="E63" t="s">
        <v>572</v>
      </c>
      <c r="F63" t="s">
        <v>217</v>
      </c>
      <c r="G63" t="s">
        <v>279</v>
      </c>
      <c r="H63" s="42" t="s">
        <v>340</v>
      </c>
      <c r="I63" t="s">
        <v>514</v>
      </c>
      <c r="J63" t="s">
        <v>403</v>
      </c>
    </row>
    <row r="64" spans="4:10" ht="12.75">
      <c r="D64" t="s">
        <v>179</v>
      </c>
      <c r="E64" t="s">
        <v>180</v>
      </c>
      <c r="F64" t="s">
        <v>218</v>
      </c>
      <c r="G64" t="s">
        <v>280</v>
      </c>
      <c r="H64" s="42" t="s">
        <v>341</v>
      </c>
      <c r="I64" t="s">
        <v>515</v>
      </c>
      <c r="J64" t="s">
        <v>404</v>
      </c>
    </row>
    <row r="65" spans="4:10" ht="12.75">
      <c r="D65" t="s">
        <v>181</v>
      </c>
      <c r="E65" s="87" t="s">
        <v>182</v>
      </c>
      <c r="F65" s="87" t="s">
        <v>219</v>
      </c>
      <c r="G65" t="s">
        <v>281</v>
      </c>
      <c r="H65" s="42" t="s">
        <v>342</v>
      </c>
      <c r="I65" t="s">
        <v>516</v>
      </c>
      <c r="J65" s="42" t="s">
        <v>405</v>
      </c>
    </row>
    <row r="66" spans="4:10" ht="12.75">
      <c r="D66" t="s">
        <v>183</v>
      </c>
      <c r="E66" t="s">
        <v>184</v>
      </c>
      <c r="F66" t="s">
        <v>220</v>
      </c>
      <c r="G66" t="s">
        <v>184</v>
      </c>
      <c r="H66" s="42" t="s">
        <v>343</v>
      </c>
      <c r="I66" t="s">
        <v>517</v>
      </c>
      <c r="J66" t="s">
        <v>406</v>
      </c>
    </row>
    <row r="67" spans="4:10" ht="12.75">
      <c r="D67" t="s">
        <v>185</v>
      </c>
      <c r="E67" s="87" t="s">
        <v>186</v>
      </c>
      <c r="F67" t="s">
        <v>221</v>
      </c>
      <c r="G67" s="87" t="s">
        <v>186</v>
      </c>
      <c r="H67" s="42" t="s">
        <v>344</v>
      </c>
      <c r="I67" t="s">
        <v>518</v>
      </c>
      <c r="J67" s="42" t="s">
        <v>407</v>
      </c>
    </row>
    <row r="68" spans="4:10" ht="12.75">
      <c r="D68" t="s">
        <v>223</v>
      </c>
      <c r="E68" s="130" t="s">
        <v>225</v>
      </c>
      <c r="F68" s="130" t="s">
        <v>225</v>
      </c>
      <c r="G68" s="130" t="s">
        <v>225</v>
      </c>
      <c r="H68" s="42" t="s">
        <v>345</v>
      </c>
      <c r="I68" t="s">
        <v>519</v>
      </c>
      <c r="J68" s="146" t="s">
        <v>408</v>
      </c>
    </row>
    <row r="69" spans="4:10" ht="12.75">
      <c r="D69" s="87" t="s">
        <v>224</v>
      </c>
      <c r="E69" s="130" t="s">
        <v>226</v>
      </c>
      <c r="F69" s="130" t="s">
        <v>226</v>
      </c>
      <c r="G69" s="130" t="s">
        <v>226</v>
      </c>
      <c r="H69" s="42" t="s">
        <v>346</v>
      </c>
      <c r="I69" t="s">
        <v>520</v>
      </c>
      <c r="J69" s="146" t="s">
        <v>409</v>
      </c>
    </row>
    <row r="70" spans="4:10" ht="12.75">
      <c r="D70" t="s">
        <v>227</v>
      </c>
      <c r="E70" s="131" t="s">
        <v>238</v>
      </c>
      <c r="F70" s="131" t="s">
        <v>238</v>
      </c>
      <c r="G70" s="131" t="s">
        <v>238</v>
      </c>
      <c r="H70" s="42" t="s">
        <v>347</v>
      </c>
      <c r="I70" t="s">
        <v>521</v>
      </c>
      <c r="J70" s="131" t="s">
        <v>410</v>
      </c>
    </row>
    <row r="71" spans="4:10" ht="12.75">
      <c r="D71" s="87" t="s">
        <v>547</v>
      </c>
      <c r="E71" s="130" t="s">
        <v>573</v>
      </c>
      <c r="F71" s="130" t="s">
        <v>546</v>
      </c>
      <c r="G71" s="130" t="s">
        <v>546</v>
      </c>
      <c r="H71" s="87" t="s">
        <v>545</v>
      </c>
      <c r="I71" t="s">
        <v>522</v>
      </c>
      <c r="J71" s="130" t="s">
        <v>544</v>
      </c>
    </row>
    <row r="72" spans="4:10" ht="12.75">
      <c r="D72" t="s">
        <v>228</v>
      </c>
      <c r="E72" s="131" t="s">
        <v>239</v>
      </c>
      <c r="F72" s="131" t="s">
        <v>239</v>
      </c>
      <c r="G72" s="131" t="s">
        <v>239</v>
      </c>
      <c r="H72" s="42" t="s">
        <v>348</v>
      </c>
      <c r="I72" t="s">
        <v>523</v>
      </c>
      <c r="J72" s="131" t="s">
        <v>411</v>
      </c>
    </row>
    <row r="73" spans="4:10" ht="12.75">
      <c r="D73" t="s">
        <v>229</v>
      </c>
      <c r="E73" s="131" t="s">
        <v>240</v>
      </c>
      <c r="F73" s="131" t="s">
        <v>240</v>
      </c>
      <c r="G73" s="131" t="s">
        <v>240</v>
      </c>
      <c r="H73" s="42" t="s">
        <v>349</v>
      </c>
      <c r="I73" t="s">
        <v>524</v>
      </c>
      <c r="J73" s="131" t="s">
        <v>412</v>
      </c>
    </row>
    <row r="74" spans="4:10" ht="12.75">
      <c r="D74" s="87" t="s">
        <v>473</v>
      </c>
      <c r="E74" s="130" t="s">
        <v>474</v>
      </c>
      <c r="F74" s="130" t="s">
        <v>474</v>
      </c>
      <c r="G74" s="130" t="s">
        <v>474</v>
      </c>
      <c r="H74" s="87" t="s">
        <v>475</v>
      </c>
      <c r="I74" t="s">
        <v>525</v>
      </c>
      <c r="J74" s="130" t="s">
        <v>476</v>
      </c>
    </row>
    <row r="75" spans="4:10" ht="12.75">
      <c r="D75" t="s">
        <v>230</v>
      </c>
      <c r="E75" s="131" t="s">
        <v>241</v>
      </c>
      <c r="F75" s="131" t="s">
        <v>241</v>
      </c>
      <c r="G75" s="131" t="s">
        <v>241</v>
      </c>
      <c r="H75" s="42" t="s">
        <v>350</v>
      </c>
      <c r="I75" t="s">
        <v>526</v>
      </c>
      <c r="J75" s="131" t="s">
        <v>413</v>
      </c>
    </row>
    <row r="76" spans="4:10" ht="12.75">
      <c r="D76" t="s">
        <v>231</v>
      </c>
      <c r="E76" s="130" t="s">
        <v>244</v>
      </c>
      <c r="F76" s="130" t="s">
        <v>244</v>
      </c>
      <c r="G76" s="130" t="s">
        <v>244</v>
      </c>
      <c r="H76" s="42" t="s">
        <v>351</v>
      </c>
      <c r="I76" t="s">
        <v>527</v>
      </c>
      <c r="J76" s="146" t="s">
        <v>414</v>
      </c>
    </row>
    <row r="77" spans="4:11" ht="12.75">
      <c r="D77" s="87" t="s">
        <v>467</v>
      </c>
      <c r="E77" s="130" t="s">
        <v>564</v>
      </c>
      <c r="F77" s="130" t="s">
        <v>468</v>
      </c>
      <c r="G77" s="130" t="s">
        <v>468</v>
      </c>
      <c r="H77" s="87" t="s">
        <v>470</v>
      </c>
      <c r="I77" s="87" t="s">
        <v>548</v>
      </c>
      <c r="J77" s="130" t="s">
        <v>469</v>
      </c>
      <c r="K77" s="87"/>
    </row>
    <row r="78" spans="4:10" ht="12.75">
      <c r="D78" t="s">
        <v>232</v>
      </c>
      <c r="E78" s="131" t="s">
        <v>242</v>
      </c>
      <c r="F78" s="131" t="s">
        <v>242</v>
      </c>
      <c r="G78" s="131" t="s">
        <v>242</v>
      </c>
      <c r="H78" s="42" t="s">
        <v>352</v>
      </c>
      <c r="I78" t="s">
        <v>528</v>
      </c>
      <c r="J78" s="131" t="s">
        <v>415</v>
      </c>
    </row>
    <row r="79" spans="4:10" ht="12.75">
      <c r="D79" t="s">
        <v>233</v>
      </c>
      <c r="E79" s="130" t="s">
        <v>243</v>
      </c>
      <c r="F79" s="130" t="s">
        <v>243</v>
      </c>
      <c r="G79" s="130" t="s">
        <v>243</v>
      </c>
      <c r="H79" s="42" t="s">
        <v>353</v>
      </c>
      <c r="I79" t="s">
        <v>529</v>
      </c>
      <c r="J79" s="146" t="s">
        <v>416</v>
      </c>
    </row>
    <row r="80" spans="4:10" ht="12.75">
      <c r="D80" t="s">
        <v>234</v>
      </c>
      <c r="E80" s="131" t="s">
        <v>567</v>
      </c>
      <c r="F80" s="131" t="s">
        <v>245</v>
      </c>
      <c r="G80" s="131" t="s">
        <v>245</v>
      </c>
      <c r="H80" s="42" t="s">
        <v>354</v>
      </c>
      <c r="I80" t="s">
        <v>530</v>
      </c>
      <c r="J80" s="131" t="s">
        <v>417</v>
      </c>
    </row>
    <row r="81" spans="4:10" ht="12.75">
      <c r="D81" t="s">
        <v>235</v>
      </c>
      <c r="E81" s="130" t="s">
        <v>246</v>
      </c>
      <c r="F81" s="130" t="s">
        <v>246</v>
      </c>
      <c r="G81" s="130" t="s">
        <v>246</v>
      </c>
      <c r="H81" s="42" t="s">
        <v>355</v>
      </c>
      <c r="I81" t="s">
        <v>531</v>
      </c>
      <c r="J81" s="146" t="s">
        <v>418</v>
      </c>
    </row>
    <row r="82" spans="4:10" ht="12.75">
      <c r="D82" t="s">
        <v>236</v>
      </c>
      <c r="E82" s="130" t="s">
        <v>247</v>
      </c>
      <c r="F82" s="130" t="s">
        <v>247</v>
      </c>
      <c r="G82" s="130" t="s">
        <v>247</v>
      </c>
      <c r="H82" s="42" t="s">
        <v>356</v>
      </c>
      <c r="I82" t="s">
        <v>532</v>
      </c>
      <c r="J82" s="146" t="s">
        <v>419</v>
      </c>
    </row>
    <row r="83" spans="4:10" ht="12.75">
      <c r="D83" t="s">
        <v>237</v>
      </c>
      <c r="E83" s="130" t="s">
        <v>568</v>
      </c>
      <c r="F83" s="130" t="s">
        <v>248</v>
      </c>
      <c r="G83" s="130" t="s">
        <v>248</v>
      </c>
      <c r="H83" s="42" t="s">
        <v>357</v>
      </c>
      <c r="I83" t="s">
        <v>533</v>
      </c>
      <c r="J83" s="146" t="s">
        <v>420</v>
      </c>
    </row>
    <row r="84" spans="4:10" ht="12.75">
      <c r="D84" s="87" t="s">
        <v>249</v>
      </c>
      <c r="E84" s="130" t="s">
        <v>291</v>
      </c>
      <c r="F84" s="130" t="s">
        <v>291</v>
      </c>
      <c r="G84" s="130" t="s">
        <v>291</v>
      </c>
      <c r="H84" s="42" t="s">
        <v>358</v>
      </c>
      <c r="I84" t="s">
        <v>534</v>
      </c>
      <c r="J84" s="146" t="s">
        <v>421</v>
      </c>
    </row>
    <row r="85" spans="4:10" ht="12.75">
      <c r="D85" s="87" t="s">
        <v>250</v>
      </c>
      <c r="E85" s="130" t="s">
        <v>292</v>
      </c>
      <c r="F85" s="130" t="s">
        <v>292</v>
      </c>
      <c r="G85" s="130" t="s">
        <v>292</v>
      </c>
      <c r="H85" s="42" t="s">
        <v>359</v>
      </c>
      <c r="I85" t="s">
        <v>535</v>
      </c>
      <c r="J85" s="146" t="s">
        <v>422</v>
      </c>
    </row>
    <row r="86" spans="4:10" ht="12.75">
      <c r="D86" s="87" t="s">
        <v>299</v>
      </c>
      <c r="E86" s="130" t="s">
        <v>569</v>
      </c>
      <c r="F86" s="130" t="s">
        <v>300</v>
      </c>
      <c r="G86" s="130" t="s">
        <v>300</v>
      </c>
      <c r="H86" s="42" t="s">
        <v>360</v>
      </c>
      <c r="I86" t="s">
        <v>536</v>
      </c>
      <c r="J86" s="146" t="s">
        <v>423</v>
      </c>
    </row>
    <row r="87" spans="4:10" ht="12.75">
      <c r="D87" s="87" t="s">
        <v>250</v>
      </c>
      <c r="E87" s="130" t="s">
        <v>293</v>
      </c>
      <c r="F87" s="130" t="s">
        <v>293</v>
      </c>
      <c r="G87" s="130" t="s">
        <v>293</v>
      </c>
      <c r="H87" s="42" t="s">
        <v>359</v>
      </c>
      <c r="I87" t="s">
        <v>537</v>
      </c>
      <c r="J87" s="146" t="s">
        <v>421</v>
      </c>
    </row>
    <row r="88" spans="4:10" ht="12.75">
      <c r="D88" s="87" t="s">
        <v>301</v>
      </c>
      <c r="E88" s="130" t="s">
        <v>570</v>
      </c>
      <c r="F88" s="130" t="s">
        <v>302</v>
      </c>
      <c r="G88" s="130" t="s">
        <v>302</v>
      </c>
      <c r="H88" s="42" t="s">
        <v>361</v>
      </c>
      <c r="I88" t="s">
        <v>538</v>
      </c>
      <c r="J88" s="146" t="s">
        <v>424</v>
      </c>
    </row>
    <row r="89" ht="12.75">
      <c r="C89" t="s">
        <v>362</v>
      </c>
    </row>
    <row r="90" spans="3:10" ht="12.75">
      <c r="C90" t="s">
        <v>437</v>
      </c>
      <c r="D90" t="s">
        <v>435</v>
      </c>
      <c r="E90" s="87" t="s">
        <v>436</v>
      </c>
      <c r="F90" s="87" t="s">
        <v>436</v>
      </c>
      <c r="G90" s="87" t="s">
        <v>436</v>
      </c>
      <c r="H90" s="87" t="s">
        <v>436</v>
      </c>
      <c r="I90" t="s">
        <v>540</v>
      </c>
      <c r="J90" s="87" t="s">
        <v>436</v>
      </c>
    </row>
    <row r="91" spans="3:10" ht="12.75">
      <c r="C91" t="s">
        <v>442</v>
      </c>
      <c r="D91" s="87" t="s">
        <v>443</v>
      </c>
      <c r="E91" s="87" t="s">
        <v>444</v>
      </c>
      <c r="F91" s="87" t="s">
        <v>444</v>
      </c>
      <c r="G91" s="87" t="s">
        <v>444</v>
      </c>
      <c r="H91" s="87" t="s">
        <v>444</v>
      </c>
      <c r="I91" t="s">
        <v>541</v>
      </c>
      <c r="J91" s="87" t="s">
        <v>444</v>
      </c>
    </row>
    <row r="92" spans="3:10" ht="12.75">
      <c r="C92" t="s">
        <v>441</v>
      </c>
      <c r="D92" s="172" t="s">
        <v>448</v>
      </c>
      <c r="E92" s="87" t="s">
        <v>447</v>
      </c>
      <c r="F92" s="87" t="s">
        <v>447</v>
      </c>
      <c r="G92" s="87" t="s">
        <v>447</v>
      </c>
      <c r="H92" s="87" t="s">
        <v>447</v>
      </c>
      <c r="I92" t="s">
        <v>542</v>
      </c>
      <c r="J92" s="87" t="s">
        <v>447</v>
      </c>
    </row>
    <row r="97" spans="4:10" ht="12.75">
      <c r="D97" t="s">
        <v>303</v>
      </c>
      <c r="E97" t="s">
        <v>363</v>
      </c>
      <c r="F97" t="s">
        <v>364</v>
      </c>
      <c r="G97" t="s">
        <v>365</v>
      </c>
      <c r="H97" t="s">
        <v>366</v>
      </c>
      <c r="I97" t="s">
        <v>539</v>
      </c>
      <c r="J97" t="s">
        <v>425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111">
    <pageSetUpPr fitToPage="1"/>
  </sheetPr>
  <dimension ref="A1:AE79"/>
  <sheetViews>
    <sheetView showGridLines="0" showRowColHeaders="0" tabSelected="1" zoomScale="75" zoomScaleNormal="75" workbookViewId="0" topLeftCell="A1">
      <selection activeCell="A2" sqref="A2:A3"/>
    </sheetView>
  </sheetViews>
  <sheetFormatPr defaultColWidth="9.140625" defaultRowHeight="12.75"/>
  <cols>
    <col min="1" max="1" width="36.28125" style="58" customWidth="1"/>
    <col min="2" max="5" width="15.00390625" style="58" bestFit="1" customWidth="1"/>
    <col min="6" max="6" width="27.00390625" style="58" customWidth="1"/>
    <col min="7" max="8" width="21.7109375" style="58" customWidth="1"/>
    <col min="9" max="9" width="23.28125" style="71" customWidth="1"/>
    <col min="10" max="10" width="11.421875" style="71" customWidth="1"/>
    <col min="11" max="15" width="11.421875" style="58" customWidth="1"/>
    <col min="16" max="16" width="0" style="58" hidden="1" customWidth="1"/>
    <col min="17" max="17" width="11.00390625" style="58" hidden="1" customWidth="1"/>
    <col min="18" max="18" width="10.00390625" style="58" hidden="1" customWidth="1"/>
    <col min="19" max="19" width="16.00390625" style="58" hidden="1" customWidth="1"/>
    <col min="20" max="22" width="14.57421875" style="58" hidden="1" customWidth="1"/>
    <col min="23" max="23" width="14.7109375" style="58" hidden="1" customWidth="1"/>
    <col min="24" max="26" width="11.421875" style="58" customWidth="1"/>
    <col min="27" max="27" width="21.00390625" style="58" customWidth="1"/>
    <col min="28" max="28" width="14.421875" style="58" customWidth="1"/>
    <col min="29" max="16384" width="11.421875" style="58" customWidth="1"/>
  </cols>
  <sheetData>
    <row r="1" spans="1:23" ht="36" thickBot="1">
      <c r="A1" s="252" t="s">
        <v>461</v>
      </c>
      <c r="B1" s="253"/>
      <c r="C1" s="253"/>
      <c r="D1" s="253"/>
      <c r="E1" s="253"/>
      <c r="F1" s="253"/>
      <c r="G1" s="253"/>
      <c r="H1" s="254"/>
      <c r="I1" s="85"/>
      <c r="J1" s="85"/>
      <c r="T1" s="59" t="s">
        <v>30</v>
      </c>
      <c r="U1" s="60" t="s">
        <v>31</v>
      </c>
      <c r="V1" s="60" t="s">
        <v>50</v>
      </c>
      <c r="W1" s="60" t="s">
        <v>51</v>
      </c>
    </row>
    <row r="2" spans="1:28" ht="18" customHeight="1">
      <c r="A2" s="226" t="s">
        <v>69</v>
      </c>
      <c r="B2" s="257" t="s">
        <v>431</v>
      </c>
      <c r="C2" s="257"/>
      <c r="D2" s="257" t="s">
        <v>432</v>
      </c>
      <c r="E2" s="258"/>
      <c r="F2" s="92" t="s">
        <v>132</v>
      </c>
      <c r="G2" s="92" t="s">
        <v>161</v>
      </c>
      <c r="H2" s="93" t="s">
        <v>162</v>
      </c>
      <c r="S2" s="61" t="s">
        <v>3</v>
      </c>
      <c r="T2" s="62">
        <f>+'Rechnung_mittel-Bezug_0100_GEA'!Y38</f>
        <v>2.99847</v>
      </c>
      <c r="U2" s="62">
        <f>+'Rechnung_mittel-Bezug_0100_GEA'!AV38</f>
        <v>2.59463</v>
      </c>
      <c r="V2" s="62">
        <f>+'Rechnung_mittel-Bezug_0100_GEA'!B38</f>
        <v>5.18436</v>
      </c>
      <c r="W2" s="62">
        <f aca="true" t="shared" si="0" ref="W2:W7">+V2</f>
        <v>5.18436</v>
      </c>
      <c r="Y2" s="132"/>
      <c r="Z2" s="133"/>
      <c r="AA2" s="134"/>
      <c r="AB2" s="134"/>
    </row>
    <row r="3" spans="1:28" ht="17.25" customHeight="1">
      <c r="A3" s="255"/>
      <c r="B3" s="94" t="s">
        <v>65</v>
      </c>
      <c r="C3" s="94" t="s">
        <v>66</v>
      </c>
      <c r="D3" s="94" t="s">
        <v>65</v>
      </c>
      <c r="E3" s="95" t="s">
        <v>66</v>
      </c>
      <c r="F3" s="287"/>
      <c r="G3" s="282"/>
      <c r="H3" s="249"/>
      <c r="S3" s="63" t="s">
        <v>0</v>
      </c>
      <c r="T3" s="62">
        <f>+'Rechnung_mittel-Bezug_0100_GEA'!Y39</f>
        <v>0.74</v>
      </c>
      <c r="U3" s="62">
        <f>+'Rechnung_mittel-Bezug_0100_GEA'!AV39</f>
        <v>0.64</v>
      </c>
      <c r="V3" s="62">
        <f>+'Rechnung_mittel-Bezug_0100_GEA'!B39</f>
        <v>0.57</v>
      </c>
      <c r="W3" s="62">
        <f t="shared" si="0"/>
        <v>0.57</v>
      </c>
      <c r="Y3" s="135"/>
      <c r="Z3" s="135"/>
      <c r="AA3" s="136"/>
      <c r="AB3" s="134"/>
    </row>
    <row r="4" spans="1:28" ht="15.75">
      <c r="A4" s="192" t="s">
        <v>62</v>
      </c>
      <c r="B4" s="225">
        <v>0.55</v>
      </c>
      <c r="C4" s="225">
        <v>0.25</v>
      </c>
      <c r="D4" s="225">
        <v>0.4845</v>
      </c>
      <c r="E4" s="225">
        <v>0.4845</v>
      </c>
      <c r="F4" s="288"/>
      <c r="G4" s="283"/>
      <c r="H4" s="250"/>
      <c r="S4" s="64" t="s">
        <v>4</v>
      </c>
      <c r="T4" s="62">
        <f>+'Rechnung_mittel-Bezug_0100_GEA'!Y45</f>
        <v>2.50889</v>
      </c>
      <c r="U4" s="62">
        <f>+'Rechnung_mittel-Bezug_0100_GEA'!AV45</f>
        <v>2.20753</v>
      </c>
      <c r="V4" s="62">
        <f>+'Rechnung_mittel-Bezug_0100_GEA'!B45</f>
        <v>4.26973</v>
      </c>
      <c r="W4" s="62">
        <f t="shared" si="0"/>
        <v>4.26973</v>
      </c>
      <c r="Y4" s="135"/>
      <c r="Z4" s="135"/>
      <c r="AA4" s="136"/>
      <c r="AB4" s="134"/>
    </row>
    <row r="5" spans="1:28" ht="12.75">
      <c r="A5" s="96" t="s">
        <v>63</v>
      </c>
      <c r="B5" s="263">
        <v>8</v>
      </c>
      <c r="C5" s="264"/>
      <c r="D5" s="264"/>
      <c r="E5" s="265"/>
      <c r="F5" s="288"/>
      <c r="G5" s="283"/>
      <c r="H5" s="250"/>
      <c r="S5" s="65" t="s">
        <v>0</v>
      </c>
      <c r="T5" s="62">
        <f>+'Rechnung_mittel-Bezug_0100_GEA'!Y46</f>
        <v>0.74</v>
      </c>
      <c r="U5" s="62">
        <f>+'Rechnung_mittel-Bezug_0100_GEA'!AV46</f>
        <v>0.64</v>
      </c>
      <c r="V5" s="62">
        <f>+'Rechnung_mittel-Bezug_0100_GEA'!B46</f>
        <v>0.57</v>
      </c>
      <c r="W5" s="62">
        <f t="shared" si="0"/>
        <v>0.57</v>
      </c>
      <c r="Y5" s="135"/>
      <c r="Z5" s="135"/>
      <c r="AA5" s="136"/>
      <c r="AB5" s="134"/>
    </row>
    <row r="6" spans="1:28" ht="12.75">
      <c r="A6" s="96" t="s">
        <v>64</v>
      </c>
      <c r="B6" s="290" t="s">
        <v>2</v>
      </c>
      <c r="C6" s="290"/>
      <c r="D6" s="290"/>
      <c r="E6" s="291"/>
      <c r="F6" s="288"/>
      <c r="G6" s="283"/>
      <c r="H6" s="250"/>
      <c r="S6" s="64" t="s">
        <v>5</v>
      </c>
      <c r="T6" s="62">
        <f>+'Rechnung_mittel-Bezug_0100_GEA'!Y52</f>
        <v>1.93037</v>
      </c>
      <c r="U6" s="62">
        <f>+'Rechnung_mittel-Bezug_0100_GEA'!AV52</f>
        <v>1.82207</v>
      </c>
      <c r="V6" s="62">
        <f>+'Rechnung_mittel-Bezug_0100_GEA'!B52</f>
        <v>3.70944</v>
      </c>
      <c r="W6" s="62">
        <f t="shared" si="0"/>
        <v>3.70944</v>
      </c>
      <c r="Y6" s="135"/>
      <c r="Z6" s="135"/>
      <c r="AA6" s="137"/>
      <c r="AB6" s="137"/>
    </row>
    <row r="7" spans="1:28" ht="15.75" customHeight="1">
      <c r="A7" s="259" t="s">
        <v>549</v>
      </c>
      <c r="B7" s="292">
        <v>80</v>
      </c>
      <c r="C7" s="292"/>
      <c r="D7" s="292"/>
      <c r="E7" s="293"/>
      <c r="F7" s="288"/>
      <c r="G7" s="283"/>
      <c r="H7" s="250"/>
      <c r="S7" s="65" t="s">
        <v>0</v>
      </c>
      <c r="T7" s="62">
        <f>+'Rechnung_mittel-Bezug_0100_GEA'!Y53</f>
        <v>0.74</v>
      </c>
      <c r="U7" s="62">
        <f>+'Rechnung_mittel-Bezug_0100_GEA'!AV53</f>
        <v>0.64</v>
      </c>
      <c r="V7" s="62">
        <f>+'Rechnung_mittel-Bezug_0100_GEA'!B53</f>
        <v>0.57</v>
      </c>
      <c r="W7" s="62">
        <f t="shared" si="0"/>
        <v>0.57</v>
      </c>
      <c r="Y7" s="133"/>
      <c r="Z7" s="135"/>
      <c r="AA7" s="137"/>
      <c r="AB7" s="137"/>
    </row>
    <row r="8" spans="1:28" ht="12.75">
      <c r="A8" s="260"/>
      <c r="B8" s="261">
        <f>+B7/3.6*1.7</f>
        <v>37.77777777777778</v>
      </c>
      <c r="C8" s="261"/>
      <c r="D8" s="261"/>
      <c r="E8" s="262"/>
      <c r="F8" s="288"/>
      <c r="G8" s="283"/>
      <c r="H8" s="250"/>
      <c r="T8" s="66"/>
      <c r="Y8" s="135"/>
      <c r="Z8" s="135"/>
      <c r="AA8" s="137"/>
      <c r="AB8" s="137"/>
    </row>
    <row r="9" spans="1:28" ht="16.5" thickBot="1">
      <c r="A9" s="193" t="s">
        <v>550</v>
      </c>
      <c r="B9" s="280">
        <v>72</v>
      </c>
      <c r="C9" s="280"/>
      <c r="D9" s="280"/>
      <c r="E9" s="281"/>
      <c r="F9" s="289"/>
      <c r="G9" s="284"/>
      <c r="H9" s="251"/>
      <c r="S9" s="65"/>
      <c r="T9" s="66"/>
      <c r="Y9" s="135"/>
      <c r="Z9" s="135"/>
      <c r="AA9" s="137"/>
      <c r="AB9" s="137"/>
    </row>
    <row r="10" spans="1:28" ht="33" customHeight="1">
      <c r="A10" s="150" t="s">
        <v>152</v>
      </c>
      <c r="B10" s="294" t="s">
        <v>65</v>
      </c>
      <c r="C10" s="295"/>
      <c r="D10" s="295" t="s">
        <v>66</v>
      </c>
      <c r="E10" s="296"/>
      <c r="F10" s="285" t="s">
        <v>164</v>
      </c>
      <c r="G10" s="286"/>
      <c r="H10" s="99"/>
      <c r="Y10" s="135"/>
      <c r="Z10" s="135"/>
      <c r="AA10" s="137"/>
      <c r="AB10" s="137"/>
    </row>
    <row r="11" spans="1:28" ht="12.75" customHeight="1">
      <c r="A11" s="151" t="s">
        <v>551</v>
      </c>
      <c r="B11" s="297">
        <v>56</v>
      </c>
      <c r="C11" s="298"/>
      <c r="D11" s="298">
        <v>56</v>
      </c>
      <c r="E11" s="302"/>
      <c r="F11" s="147" t="s">
        <v>163</v>
      </c>
      <c r="G11" s="201">
        <v>9</v>
      </c>
      <c r="H11" s="99"/>
      <c r="Q11" s="58" t="s">
        <v>47</v>
      </c>
      <c r="R11" s="58" t="s">
        <v>471</v>
      </c>
      <c r="Y11" s="135"/>
      <c r="Z11" s="135"/>
      <c r="AA11" s="137"/>
      <c r="AB11" s="137"/>
    </row>
    <row r="12" spans="1:28" ht="13.5" customHeight="1">
      <c r="A12" s="151" t="s">
        <v>552</v>
      </c>
      <c r="B12" s="199">
        <v>74</v>
      </c>
      <c r="C12" s="159">
        <v>50</v>
      </c>
      <c r="D12" s="200">
        <v>70</v>
      </c>
      <c r="E12" s="160">
        <v>50</v>
      </c>
      <c r="F12" s="148" t="s">
        <v>16</v>
      </c>
      <c r="G12" s="202">
        <v>11</v>
      </c>
      <c r="H12" s="99"/>
      <c r="Q12" s="58" t="s">
        <v>54</v>
      </c>
      <c r="T12" s="66"/>
      <c r="Y12" s="135"/>
      <c r="Z12" s="135"/>
      <c r="AA12" s="137"/>
      <c r="AB12" s="137"/>
    </row>
    <row r="13" spans="1:28" ht="16.5" thickBot="1">
      <c r="A13" s="152" t="s">
        <v>553</v>
      </c>
      <c r="B13" s="303">
        <v>56</v>
      </c>
      <c r="C13" s="304"/>
      <c r="D13" s="304">
        <v>100</v>
      </c>
      <c r="E13" s="305"/>
      <c r="F13" s="149" t="s">
        <v>17</v>
      </c>
      <c r="G13" s="203">
        <v>10.5</v>
      </c>
      <c r="H13" s="99"/>
      <c r="Q13" s="67" t="s">
        <v>16</v>
      </c>
      <c r="R13" s="196">
        <v>145.47619</v>
      </c>
      <c r="S13" s="197">
        <v>86.19048</v>
      </c>
      <c r="T13" s="66"/>
      <c r="Y13" s="135"/>
      <c r="Z13" s="135"/>
      <c r="AA13" s="137"/>
      <c r="AB13" s="137"/>
    </row>
    <row r="14" spans="1:28" ht="16.5" customHeight="1" hidden="1" thickBot="1">
      <c r="A14" s="153" t="s">
        <v>554</v>
      </c>
      <c r="B14" s="306">
        <v>64</v>
      </c>
      <c r="C14" s="307"/>
      <c r="D14" s="307">
        <v>84</v>
      </c>
      <c r="E14" s="308"/>
      <c r="F14" s="98"/>
      <c r="G14" s="98"/>
      <c r="H14" s="99"/>
      <c r="Q14" s="67" t="s">
        <v>55</v>
      </c>
      <c r="R14" s="196">
        <v>-0.41922</v>
      </c>
      <c r="S14" s="197">
        <v>-0.23472</v>
      </c>
      <c r="T14" s="66"/>
      <c r="Y14" s="133"/>
      <c r="Z14" s="135"/>
      <c r="AA14" s="137"/>
      <c r="AB14" s="137"/>
    </row>
    <row r="15" spans="1:28" ht="15.75" customHeight="1">
      <c r="A15" s="100"/>
      <c r="B15" s="98" t="s">
        <v>45</v>
      </c>
      <c r="C15" s="98"/>
      <c r="D15" s="101"/>
      <c r="E15" s="101"/>
      <c r="F15" s="102"/>
      <c r="G15" s="98"/>
      <c r="H15" s="99"/>
      <c r="Q15" s="67" t="s">
        <v>56</v>
      </c>
      <c r="R15" s="196">
        <v>0.000543519</v>
      </c>
      <c r="S15" s="198">
        <v>0.000335269</v>
      </c>
      <c r="T15" s="66"/>
      <c r="Y15" s="135"/>
      <c r="Z15" s="135"/>
      <c r="AA15" s="137"/>
      <c r="AB15" s="137"/>
    </row>
    <row r="16" spans="1:28" ht="18" customHeight="1">
      <c r="A16" s="100"/>
      <c r="B16" s="98"/>
      <c r="C16" s="98"/>
      <c r="D16" s="98"/>
      <c r="E16" s="98"/>
      <c r="F16" s="103"/>
      <c r="G16" s="98"/>
      <c r="H16" s="99"/>
      <c r="Q16" s="67" t="s">
        <v>57</v>
      </c>
      <c r="R16" s="196">
        <v>-3.22531E-07</v>
      </c>
      <c r="S16" s="198">
        <v>-2.06229E-07</v>
      </c>
      <c r="T16" s="66"/>
      <c r="Y16" s="135"/>
      <c r="Z16" s="135"/>
      <c r="AA16" s="137"/>
      <c r="AB16" s="137"/>
    </row>
    <row r="17" spans="1:28" ht="17.25" customHeight="1" thickBot="1">
      <c r="A17" s="100"/>
      <c r="B17" s="98"/>
      <c r="C17" s="98"/>
      <c r="D17" s="98"/>
      <c r="E17" s="98"/>
      <c r="F17" s="98"/>
      <c r="G17" s="98"/>
      <c r="H17" s="99"/>
      <c r="Q17" s="67" t="s">
        <v>58</v>
      </c>
      <c r="R17" s="196">
        <v>9.25926E-11</v>
      </c>
      <c r="S17" s="198">
        <v>6.07931E-11</v>
      </c>
      <c r="Y17" s="135"/>
      <c r="Z17" s="135"/>
      <c r="AA17" s="137"/>
      <c r="AB17" s="137"/>
    </row>
    <row r="18" spans="1:28" ht="15.75">
      <c r="A18" s="256" t="s">
        <v>70</v>
      </c>
      <c r="B18" s="273" t="s">
        <v>431</v>
      </c>
      <c r="C18" s="273"/>
      <c r="D18" s="273" t="s">
        <v>432</v>
      </c>
      <c r="E18" s="274"/>
      <c r="F18" s="98"/>
      <c r="G18" s="98"/>
      <c r="H18" s="99"/>
      <c r="Q18" s="67" t="s">
        <v>59</v>
      </c>
      <c r="R18" s="196">
        <v>-1.02881E-14</v>
      </c>
      <c r="S18" s="198">
        <v>-6.85871E-15</v>
      </c>
      <c r="Y18" s="135"/>
      <c r="Z18" s="135"/>
      <c r="AA18" s="137"/>
      <c r="AB18" s="137"/>
    </row>
    <row r="19" spans="1:18" ht="12.75">
      <c r="A19" s="226"/>
      <c r="B19" s="104" t="s">
        <v>65</v>
      </c>
      <c r="C19" s="104" t="s">
        <v>66</v>
      </c>
      <c r="D19" s="104" t="s">
        <v>65</v>
      </c>
      <c r="E19" s="105" t="s">
        <v>66</v>
      </c>
      <c r="F19" s="98"/>
      <c r="G19" s="98"/>
      <c r="H19" s="99"/>
      <c r="Q19" s="58" t="s">
        <v>472</v>
      </c>
      <c r="R19" s="190"/>
    </row>
    <row r="20" spans="1:24" ht="15.75">
      <c r="A20" s="194" t="s">
        <v>555</v>
      </c>
      <c r="B20" s="204">
        <f>(B28/3.414)/4186/(B4*227.04)*3600*1.8</f>
        <v>-9.526812898446613</v>
      </c>
      <c r="C20" s="204">
        <f>(C28/3.414)/4186/(C4*227.04)*3600*1.8</f>
        <v>16.942201048422604</v>
      </c>
      <c r="D20" s="204">
        <f>(D28/3.414)/4186/(D4*227.04)*3600*1.8</f>
        <v>-9.209410703281435</v>
      </c>
      <c r="E20" s="204">
        <f>(E28/3.414)/4186/(E4*227.04)*3600*1.8</f>
        <v>15.34901783880239</v>
      </c>
      <c r="F20" s="98"/>
      <c r="G20" s="98"/>
      <c r="H20" s="99"/>
      <c r="X20" s="58" t="s">
        <v>45</v>
      </c>
    </row>
    <row r="21" spans="1:8" ht="15.75">
      <c r="A21" s="106" t="s">
        <v>554</v>
      </c>
      <c r="B21" s="207">
        <f>+$B$13-B20</f>
        <v>65.52681289844661</v>
      </c>
      <c r="C21" s="207">
        <f>+$D$13-C20</f>
        <v>83.0577989515774</v>
      </c>
      <c r="D21" s="207">
        <f>+$B$13-D20</f>
        <v>65.20941070328143</v>
      </c>
      <c r="E21" s="208">
        <f>+$D$13-E20</f>
        <v>84.65098216119762</v>
      </c>
      <c r="F21" s="98"/>
      <c r="G21" s="98"/>
      <c r="H21" s="99"/>
    </row>
    <row r="22" spans="1:8" ht="15.75">
      <c r="A22" s="194" t="s">
        <v>556</v>
      </c>
      <c r="B22" s="205">
        <f>+B23+B20/2</f>
        <v>-17.999999999999993</v>
      </c>
      <c r="C22" s="205">
        <f>+C$23+C20/2</f>
        <v>29.999999999999993</v>
      </c>
      <c r="D22" s="205">
        <f>+D23+D20/2</f>
        <v>-18</v>
      </c>
      <c r="E22" s="206">
        <f>+E$23+E20/2</f>
        <v>30</v>
      </c>
      <c r="F22" s="98"/>
      <c r="G22" s="98"/>
      <c r="H22" s="99"/>
    </row>
    <row r="23" spans="1:8" ht="15.75" customHeight="1" thickBot="1">
      <c r="A23" s="195" t="s">
        <v>557</v>
      </c>
      <c r="B23" s="209">
        <v>-13.236593550776686</v>
      </c>
      <c r="C23" s="209">
        <v>21.52889947578869</v>
      </c>
      <c r="D23" s="209">
        <v>-13.395294648359283</v>
      </c>
      <c r="E23" s="210">
        <v>22.325491080598805</v>
      </c>
      <c r="F23" s="98"/>
      <c r="G23" s="98"/>
      <c r="H23" s="99"/>
    </row>
    <row r="24" spans="1:8" ht="12" customHeight="1" hidden="1">
      <c r="A24" s="107" t="s">
        <v>168</v>
      </c>
      <c r="B24" s="108">
        <f>+$B$13-$B$12</f>
        <v>-18</v>
      </c>
      <c r="C24" s="108">
        <f>+$D$13-$D$12</f>
        <v>30</v>
      </c>
      <c r="D24" s="108">
        <f>+$B$13-$B$12</f>
        <v>-18</v>
      </c>
      <c r="E24" s="108">
        <f>+$D$13-$D$12</f>
        <v>30</v>
      </c>
      <c r="F24" s="168" t="s">
        <v>45</v>
      </c>
      <c r="G24" s="98"/>
      <c r="H24" s="99"/>
    </row>
    <row r="25" spans="1:8" ht="15.75" customHeight="1" hidden="1">
      <c r="A25" s="109"/>
      <c r="B25" s="169">
        <f>+B22-B24</f>
        <v>0</v>
      </c>
      <c r="C25" s="169">
        <f>+C22-C24</f>
        <v>0</v>
      </c>
      <c r="D25" s="169">
        <f>+D22-D24</f>
        <v>0</v>
      </c>
      <c r="E25" s="169">
        <f>+E22-E24</f>
        <v>0</v>
      </c>
      <c r="F25" s="98"/>
      <c r="G25" s="98"/>
      <c r="H25" s="99"/>
    </row>
    <row r="26" spans="1:8" ht="15.75" customHeight="1" hidden="1">
      <c r="A26" s="110"/>
      <c r="B26" s="170">
        <f>+B28/B20/466.786</f>
        <v>0.5899768631545171</v>
      </c>
      <c r="C26" s="170">
        <f>+C28/C20/466.786</f>
        <v>0.26817130143387136</v>
      </c>
      <c r="D26" s="170">
        <f>+D28/D20/466.786</f>
        <v>0.5197159821788427</v>
      </c>
      <c r="E26" s="170">
        <f>+E28/E20/466.786</f>
        <v>0.519715982178843</v>
      </c>
      <c r="F26" s="112" t="s">
        <v>45</v>
      </c>
      <c r="G26" s="98"/>
      <c r="H26" s="99"/>
    </row>
    <row r="27" spans="1:19" ht="18.75" customHeight="1" hidden="1" thickBot="1">
      <c r="A27" s="110"/>
      <c r="B27" s="169">
        <f>+B26-B4</f>
        <v>0.039976863154517095</v>
      </c>
      <c r="C27" s="169">
        <f>+C26-C4</f>
        <v>0.018171301433871356</v>
      </c>
      <c r="D27" s="169">
        <f>+D26-D4</f>
        <v>0.03521598217884275</v>
      </c>
      <c r="E27" s="169">
        <f>+E26-E4</f>
        <v>0.035215982178842975</v>
      </c>
      <c r="F27" s="113" t="s">
        <v>45</v>
      </c>
      <c r="G27" s="98"/>
      <c r="H27" s="99"/>
      <c r="Q27" s="58" t="s">
        <v>47</v>
      </c>
      <c r="R27" s="58" t="s">
        <v>52</v>
      </c>
      <c r="S27" s="58" t="s">
        <v>53</v>
      </c>
    </row>
    <row r="28" spans="1:20" ht="18.75" customHeight="1">
      <c r="A28" s="114" t="s">
        <v>558</v>
      </c>
      <c r="B28" s="211">
        <f>IF(B5&gt;=7,IF($B6="A",+T$2*($B$7*1.7)^T$3*($B$5*304.8/1000)^(1-T$3)*B23*1.8*B45,IF($B6="B",+T$4*($B$7*1.7)^T$5*($B$5*304.8/1000)^(1-T$5)*B23*1.8*B45,IF($B6="C",+T$6*($B$7*1.7)^T$7*($B$5*304.8/1000)^(1-T$7)*B23*1.8*B45)))*0.9,IF($B6="A",+T$2*($B$7*1.7)^T$3*($B$5*304.8/1000)^(1-T$3)*B23*1.8*B45,IF($B6="B",+T$4*($B$7*1.7)^T$5*($B$5*304.8/1000)^(1-T$5)*B23*1.8*B45,IF($B6="C",+T$6*($B$7*1.7)^T$7*($B$5*304.8/1000)^(1-T$7)*B23*1.8*B45))))</f>
        <v>-2623.6170133565483</v>
      </c>
      <c r="C28" s="211">
        <f>IF(B5&gt;=7,IF($B6="A",+U$2*($B$7*1.7)^U$3*($B$5*304.8/1000)^(1-U$3)*C23*1.8*C45,IF($B6="B",+U$4*($B$7*1.7)^U$5*($B$5*304.8/1000)^(1-U$5)*C23*1.8*C45,IF($B6="C",+U$6*($B$7*1.7)^U$7*($B$5*304.8/1000)^(1-U$7)*C23*1.8*C45)))*0.9,IF($B6="A",+U$2*($B$7*1.7)^U$3*($B$5*304.8/1000)^(1-U$3)*C23*1.8*C45,IF($B6="B",+U$4*($B$7*1.7)^U$5*($B$5*304.8/1000)^(1-U$5)*C23*1.8*C45,IF($B6="C",+U$6*($B$7*1.7)^U$7*($B$5*304.8/1000)^(1-U$7)*C23*1.8*C45))))</f>
        <v>2120.8011625223494</v>
      </c>
      <c r="D28" s="211">
        <f>IF(B5&gt;=7,IF($B6="A",+V$2*($B$7*1.7)^V$3*($B$5*304.8/1000)^(1-V$3)*D23*1.8*D45,IF($B6="B",+V$4*($B$7*1.7)^V$5*($B$5*304.8/1000)^(1-V$5)*D23*1.8*D45,IF($B6="C",+V$6*($B$7*1.7)^V$7*($B$5*304.8/1000)^(1-V$7)*D23*1.8*D45)))*0.9,IF($B6="A",+V$2*($B$7*1.7)^V$3*($B$5*304.8/1000)^(1-V$3)*D23*1.8*D45,IF($B6="B",+V$4*($B$7*1.7)^V$5*($B$5*304.8/1000)^(1-V$5)*D23*1.8*D45,IF($B6="C",+V$6*($B$7*1.7)^V$7*($B$5*304.8/1000)^(1-V$7)*D23*1.8*D45))))</f>
        <v>-2234.1675293401745</v>
      </c>
      <c r="E28" s="212">
        <f>IF(B5&gt;=7,IF($B6="A",+W$2*($B$7*1.7)^W$3*($B$5*304.8/1000)^(1-W$3)*E23*1.8*E45,IF($B6="B",+W$4*($B$7*1.7)^W$5*($B$5*304.8/1000)^(1-W$5)*E23*1.8*E45,IF($B6="C",+W$6*($B$7*1.7)^W$7*($B$5*304.8/1000)^(1-W$7)*E23*1.8*E45)))*0.9,IF($B6="A",+W$2*($B$7*1.7)^W$3*($B$5*304.8/1000)^(1-W$3)*E23*1.8*E45,IF($B6="B",+W$4*($B$7*1.7)^W$5*($B$5*304.8/1000)^(1-W$5)*E23*1.8*E45,IF($B6="C",+W$6*($B$7*1.7)^W$7*($B$5*304.8/1000)^(1-W$7)*E23*1.8*E45))))</f>
        <v>3723.612548900291</v>
      </c>
      <c r="F28" s="275" t="s">
        <v>436</v>
      </c>
      <c r="G28" s="276"/>
      <c r="H28" s="99"/>
      <c r="Q28" s="58" t="s">
        <v>54</v>
      </c>
      <c r="T28" s="135"/>
    </row>
    <row r="29" spans="1:20" ht="18" customHeight="1" thickBot="1">
      <c r="A29" s="97" t="s">
        <v>559</v>
      </c>
      <c r="B29" s="213">
        <f>-Qluft(B7*1.7,($B$11-32)*5/9,($B$12-32)*5/9)*3.414</f>
        <v>-1569.345812071433</v>
      </c>
      <c r="C29" s="213">
        <f>-Qluft(B7*1.7,($D$11-32)*5/9,($D$12-32)*5/9)*3.414</f>
        <v>-1225.2568605063468</v>
      </c>
      <c r="D29" s="213">
        <f>-Qluft(B7*1.7,($B$11-32)*5/9,($B$12-32)*5/9)*3.414</f>
        <v>-1569.345812071433</v>
      </c>
      <c r="E29" s="213">
        <f>-Qluft(B7*1.7,($D$11-32)*5/9,($D$12-32)*5/9)*3.414</f>
        <v>-1225.2568605063468</v>
      </c>
      <c r="F29" s="277"/>
      <c r="G29" s="278"/>
      <c r="H29" s="99"/>
      <c r="Q29" s="67" t="s">
        <v>16</v>
      </c>
      <c r="R29" s="138">
        <v>205.57143</v>
      </c>
      <c r="S29" s="135">
        <v>146.28571</v>
      </c>
      <c r="T29" s="135"/>
    </row>
    <row r="30" spans="1:20" ht="18" customHeight="1">
      <c r="A30" s="97" t="s">
        <v>169</v>
      </c>
      <c r="B30" s="213">
        <f>+B29+B28</f>
        <v>-4192.962825427981</v>
      </c>
      <c r="C30" s="213">
        <f>+C29+C28</f>
        <v>895.5443020160026</v>
      </c>
      <c r="D30" s="213">
        <f>+D29+D28</f>
        <v>-3803.5133414116076</v>
      </c>
      <c r="E30" s="214">
        <f>+E29+E28</f>
        <v>2498.3556883939445</v>
      </c>
      <c r="F30" s="143"/>
      <c r="G30" s="154" t="s">
        <v>167</v>
      </c>
      <c r="H30" s="99"/>
      <c r="Q30" s="67" t="s">
        <v>55</v>
      </c>
      <c r="R30" s="138">
        <v>-0.62641</v>
      </c>
      <c r="S30" s="135">
        <v>-0.44191</v>
      </c>
      <c r="T30" s="140"/>
    </row>
    <row r="31" spans="1:20" ht="20.25" customHeight="1">
      <c r="A31" s="115" t="s">
        <v>560</v>
      </c>
      <c r="B31" s="215">
        <f>(IF((ReW((B4*227.04),DP_Wasser_GEA!B13,($B$13-32)*5/9-(B20/1.8)/2,0))&lt;1200,DPlamW(DP_Wasser_GEA!B13,DP_Wasser_GEA!B10,(B4*227.04),($B$13-32)*5/9-(B20/1.8)/2,DP_Wasser_GEA!B12,0)+DPlamW(DP_Wasser_GEA!C13,DP_Wasser_GEA!C10,(B4*227.04),($B$13-32)*5/9-(B20/1.8)/2,DP_Wasser_GEA!C12,0),DPturbW(DP_Wasser_GEA!B13,DP_Wasser_GEA!B10,(B4*227.04),($B$13-32)*5/9-(B20/1.8)/2,DP_Wasser_GEA!B12,0)+DPturbW(DP_Wasser_GEA!C13,DP_Wasser_GEA!C10,(B4*227.04),($B$13-32)*5/9-(B20/1.8)/2,DP_Wasser_GEA!C12,0))/1000)*0.00401*1000/12</f>
        <v>2.415185158542893</v>
      </c>
      <c r="C31" s="215">
        <f>(IF((ReW((C4*227.04),DP_Wasser_GEA!C13,($D$13-32)*5/9-(C20/1.8)/2,0))&lt;1200,DPlamW(DP_Wasser_GEA!C13,DP_Wasser_GEA!C10,(C4*227.04),($D$13-32)*5/9-(C20/1.8)/2,DP_Wasser_GEA!C12,0)+DPlamW(DP_Wasser_GEA!D13,DP_Wasser_GEA!D10,(C4*227.04),($D$13-32)*5/9-(C20/1.8)/2,DP_Wasser_GEA!D12,0),DPturbW(DP_Wasser_GEA!C13,DP_Wasser_GEA!C10,(C4*227.04),($D$13-32)*5/9-(C20/1.8)/2,DP_Wasser_GEA!C12,0)+DPturbW(DP_Wasser_GEA!D13,DP_Wasser_GEA!D10,(C4*227.04),($D$13-32)*5/9-(C20/1.8)/2,DP_Wasser_GEA!D12,0))/1000)*0.00401*1000/12</f>
        <v>0.19057342937623936</v>
      </c>
      <c r="D31" s="215">
        <f>(IF((ReW((D4*227.04),DP_Wasser_GEA!F13,($B$13-32)*5/9-(D20/1.8)/2,0))&lt;1200,DPlamW(DP_Wasser_GEA!F13,DP_Wasser_GEA!F10,(D4*227.04),($B$13-32)*5/9-(D20/1.8)/2,DP_Wasser_GEA!F12,0)+DPlamW(DP_Wasser_GEA!G13,DP_Wasser_GEA!G10,(D4*227.04),($B$13-32)*5/9-(D20/1.8)/2,DP_Wasser_GEA!G12,0),DPturbW(DP_Wasser_GEA!F13,DP_Wasser_GEA!F10,(D4*227.04),($B$13-32)*5/9-(D20/1.8)/2,DP_Wasser_GEA!F12,0)+DPturbW(DP_Wasser_GEA!G13,DP_Wasser_GEA!G10,(D4*227.04),($B$13-32)*5/9-(D20/1.8)/2,DP_Wasser_GEA!G12,0))/1000)*0.00401*1000/12</f>
        <v>1.302394894876117</v>
      </c>
      <c r="E31" s="216">
        <f>(IF((ReW((E4*227.04),DP_Wasser_GEA!E13,($D$13-32)*5/9-(E20/1.8)/2,0))&lt;1200,DPlamW(DP_Wasser_GEA!E13,DP_Wasser_GEA!E10,(E4*227.04),($D$13-32)*5/9-(E20/1.8)/2,DP_Wasser_GEA!E12,0)+DPlamW(DP_Wasser_GEA!F13,DP_Wasser_GEA!F10,(E4*227.04),($D$13-32)*5/9-(E20/1.8)/2,DP_Wasser_GEA!F12,0),DPturbW(DP_Wasser_GEA!E13,DP_Wasser_GEA!E10,(E4*227.04),($D$13-32)*5/9-(E20/1.8)/2,DP_Wasser_GEA!E12,0)+DPturbW(DP_Wasser_GEA!F13,DP_Wasser_GEA!F10,(E4*227.04),($D$13-32)*5/9-(E20/1.8)/2,DP_Wasser_GEA!F12,0))/1000)*0.00401*1000/12</f>
        <v>1.1938191073654996</v>
      </c>
      <c r="F31" s="144"/>
      <c r="G31" s="122"/>
      <c r="H31" s="99"/>
      <c r="Q31" s="67" t="s">
        <v>56</v>
      </c>
      <c r="R31" s="139">
        <v>0.000819949</v>
      </c>
      <c r="S31" s="186">
        <v>0.0006117</v>
      </c>
      <c r="T31" s="140"/>
    </row>
    <row r="32" spans="1:20" ht="18.75" customHeight="1" thickBot="1">
      <c r="A32" s="115" t="s">
        <v>561</v>
      </c>
      <c r="B32" s="267">
        <f>9423902.2*B8^2*(1/G44^0.6)*(1/(B9*IF(B6="A",6,IF(B6="B",8,IF(B6="C",10)))^2))^1.91662*0.00401</f>
        <v>0.3238073386324278</v>
      </c>
      <c r="C32" s="268"/>
      <c r="D32" s="268"/>
      <c r="E32" s="269"/>
      <c r="F32" s="142"/>
      <c r="G32" s="155" t="s">
        <v>45</v>
      </c>
      <c r="H32" s="99"/>
      <c r="Q32" s="67" t="s">
        <v>57</v>
      </c>
      <c r="R32" s="139">
        <v>-5.01263E-07</v>
      </c>
      <c r="S32" s="187">
        <v>-3.84961E-07</v>
      </c>
      <c r="T32" s="140"/>
    </row>
    <row r="33" spans="1:20" ht="14.25" customHeight="1" thickBot="1">
      <c r="A33" s="116" t="s">
        <v>566</v>
      </c>
      <c r="B33" s="270">
        <f>4.2453*(53*LOG(B8)-(0.832*B5*304.8/B9-4.2)*LOG(G39*0.3048^2)-7*LOG(B9)-(11.887+2.3275*B5*304.8/B9))^1.10828*(1/G45^0.4)-15</f>
        <v>23.372286979459915</v>
      </c>
      <c r="C33" s="271"/>
      <c r="D33" s="271"/>
      <c r="E33" s="272"/>
      <c r="F33" s="117"/>
      <c r="G33" s="98" t="s">
        <v>45</v>
      </c>
      <c r="H33" s="99"/>
      <c r="Q33" s="67" t="s">
        <v>58</v>
      </c>
      <c r="R33" s="139">
        <v>1.48709E-10</v>
      </c>
      <c r="S33" s="188">
        <v>1.1691E-10</v>
      </c>
      <c r="T33" s="140"/>
    </row>
    <row r="34" spans="1:19" ht="8.25" customHeight="1">
      <c r="A34" s="156" t="s">
        <v>574</v>
      </c>
      <c r="B34" s="98"/>
      <c r="C34" s="98"/>
      <c r="D34" s="98"/>
      <c r="E34" s="98"/>
      <c r="F34" s="118"/>
      <c r="G34" s="98"/>
      <c r="H34" s="124"/>
      <c r="Q34" s="67" t="s">
        <v>59</v>
      </c>
      <c r="R34" s="139">
        <v>-1.71468E-14</v>
      </c>
      <c r="S34" s="187">
        <v>-1.37174E-14</v>
      </c>
    </row>
    <row r="35" spans="1:8" ht="6" customHeight="1" thickBot="1">
      <c r="A35" s="119"/>
      <c r="B35" s="120"/>
      <c r="C35" s="120"/>
      <c r="D35" s="120"/>
      <c r="E35" s="120"/>
      <c r="F35" s="120"/>
      <c r="G35" s="120"/>
      <c r="H35" s="127"/>
    </row>
    <row r="36" spans="1:10" ht="12.75">
      <c r="A36" s="163" t="s">
        <v>71</v>
      </c>
      <c r="B36" s="217">
        <f>(0.001*$B$8*IF($B$6="A",5.3,IF($B$6="B",4.1,IF($B$6="C",3.4)))/(0.00005*$B$5*304.8)^0.76/($G$42*0.3048)^0.5)*196.85</f>
        <v>73.2675415766631</v>
      </c>
      <c r="C36" s="177"/>
      <c r="D36" s="217">
        <f>(0.001*$B$8*IF($B$6="A",5.3,IF($B$6="B",4.1,IF($B$6="C",3.4)))/(0.00005*$B$5*304.8)^0.76/($G$42*0.3048)^0.5)*196.85</f>
        <v>73.2675415766631</v>
      </c>
      <c r="E36" s="181"/>
      <c r="F36" s="227" t="s">
        <v>68</v>
      </c>
      <c r="G36" s="228"/>
      <c r="H36" s="124"/>
      <c r="I36" s="266"/>
      <c r="J36" s="266"/>
    </row>
    <row r="37" spans="1:19" ht="12.75">
      <c r="A37" s="121" t="s">
        <v>120</v>
      </c>
      <c r="B37" s="218">
        <f>0.396*(0.001*$B$8*IF($B$6="A",5.3,IF($B$6="B",4.1,IF($B$6="C",3.4)))/(0.00005*$B$5*304.8)^0.76/($G$12*0.3048/2)^0.5)^1.184/($G$41*0.3048)*196.85</f>
        <v>40.209462953008746</v>
      </c>
      <c r="C37" s="178"/>
      <c r="D37" s="218">
        <f>0.396*(0.001*$B$8*IF($B$6="A",5.3,IF($B$6="B",4.1,IF($B$6="C",3.4)))/(0.00005*$B$5*304.8)^0.76/($G$12*0.3048/2)^0.5)^1.184/($G$41*0.3048)*196.85</f>
        <v>40.209462953008746</v>
      </c>
      <c r="E37" s="182"/>
      <c r="F37" s="171" t="s">
        <v>166</v>
      </c>
      <c r="G37" s="185">
        <f>ROUND($R$13+$R$14*$B$5*300+$R$15*($B$5*300)^2+$R$16*($B$5*300)^3+$R$17*($B$5*300)^4+$R$18*($B$5*300)^5+$R$19*($B$5*300)^6,0)</f>
        <v>64</v>
      </c>
      <c r="H37" s="189"/>
      <c r="J37" s="68"/>
      <c r="R37" s="138">
        <v>980</v>
      </c>
      <c r="S37" s="135">
        <v>146.28571</v>
      </c>
    </row>
    <row r="38" spans="1:19" ht="15">
      <c r="A38" s="129" t="s">
        <v>294</v>
      </c>
      <c r="B38" s="204">
        <f>(0.964*B42/1.8*((0.00005*$B$5*304.8)^0.5/($G$42*0.3048))^0.5)*1.8</f>
        <v>-3.2892521207559455</v>
      </c>
      <c r="C38" s="179"/>
      <c r="D38" s="204">
        <f>(0.964*D42/1.8*((0.00005*$B$5*304.8)^0.5/($G$42*0.3048))^0.5)*1.8</f>
        <v>-2.9837408165632087</v>
      </c>
      <c r="E38" s="183"/>
      <c r="F38" s="171" t="s">
        <v>165</v>
      </c>
      <c r="G38" s="185">
        <f>ROUND($S$13+$S$14*$B$5*300+$S$15*($B$5*300)^2+$S$16*($B$5*300)^3+$S$17*($B$5*300)^4+$S$18*($B$5*300)^5,0)</f>
        <v>74</v>
      </c>
      <c r="H38" s="161"/>
      <c r="J38" s="68"/>
      <c r="R38" s="138">
        <v>-3.60478</v>
      </c>
      <c r="S38" s="135">
        <v>-0.44191</v>
      </c>
    </row>
    <row r="39" spans="1:19" ht="15">
      <c r="A39" s="129" t="s">
        <v>295</v>
      </c>
      <c r="B39" s="204">
        <f>(0.241*B42/1.8*((0.00005*$B$5*304.8)^0.5/($G$42*0.3048+$G$41*0.3048))^0.5)*1.8</f>
        <v>-0.7367705246958516</v>
      </c>
      <c r="C39" s="179"/>
      <c r="D39" s="204">
        <f>(0.241*D42/1.8*((0.00005*$B$5*304.8)^0.5/($G$42*0.3048+$G$41*0.3048))^0.5)*1.8</f>
        <v>-0.6683380313426618</v>
      </c>
      <c r="E39" s="183"/>
      <c r="F39" s="171" t="s">
        <v>20</v>
      </c>
      <c r="G39" s="223">
        <f>+B9*(IF(B6="A",6,IF(B6="B",8,IF(B6="C",10)))/1000)^2*PI()/4/0.3048^2</f>
        <v>0.03895582681616706</v>
      </c>
      <c r="H39" s="162"/>
      <c r="I39" s="73"/>
      <c r="J39" s="69"/>
      <c r="R39" s="139">
        <v>0.00544</v>
      </c>
      <c r="S39" s="186">
        <v>0.0006117</v>
      </c>
    </row>
    <row r="40" spans="1:19" ht="12.75" customHeight="1">
      <c r="A40" s="121" t="s">
        <v>563</v>
      </c>
      <c r="B40" s="219">
        <f>(1.127*($G$39/10.764)^0.5*B41^(-0.457))/0.3048</f>
        <v>11.35744762694234</v>
      </c>
      <c r="C40" s="180"/>
      <c r="D40" s="219">
        <f>(1.127*($G$39/10.764)^0.5*D41^(-0.457))/0.3048</f>
        <v>11.35744762694234</v>
      </c>
      <c r="E40" s="184"/>
      <c r="F40" s="171" t="s">
        <v>21</v>
      </c>
      <c r="G40" s="222">
        <f>+B7/G39</f>
        <v>2053.608061703344</v>
      </c>
      <c r="H40" s="99" t="s">
        <v>45</v>
      </c>
      <c r="I40" s="74"/>
      <c r="J40" s="75"/>
      <c r="R40" s="139">
        <v>-4.20833E-06</v>
      </c>
      <c r="S40" s="187">
        <v>-3.84961E-07</v>
      </c>
    </row>
    <row r="41" spans="1:19" ht="15">
      <c r="A41" s="165" t="s">
        <v>67</v>
      </c>
      <c r="B41" s="176">
        <f>9.81*($G$39/10.764)^0.5*ABS(($B$12-32)*5/9-($B$11-32)*5/9)/(273+($B$12-32)*5/9)/($G$40/196.85)^2</f>
        <v>0.00018298841144330006</v>
      </c>
      <c r="C41" s="180"/>
      <c r="D41" s="176">
        <f>9.81*($G$39/10.764)^0.5*ABS(($B$12-32)*5/9-($B$11-32)*5/9)/(273+($B$12-32)*5/9)/($G$40/196.85)^2</f>
        <v>0.00018298841144330006</v>
      </c>
      <c r="E41" s="184"/>
      <c r="F41" s="148" t="s">
        <v>18</v>
      </c>
      <c r="G41" s="224">
        <f>+G11-5.58</f>
        <v>3.42</v>
      </c>
      <c r="H41" s="162"/>
      <c r="I41" s="76"/>
      <c r="J41" s="77"/>
      <c r="R41" s="139">
        <v>1.77469E-09</v>
      </c>
      <c r="S41" s="188">
        <v>1.1691E-10</v>
      </c>
    </row>
    <row r="42" spans="1:19" ht="14.25" customHeight="1">
      <c r="A42" s="129" t="s">
        <v>562</v>
      </c>
      <c r="B42" s="204">
        <f>+(B30/3.414)/($B$8*IF($B$6="A",5.3,IF($B$6="B",4.1,IF($B$6="C",3.4)))*1.2)*1.8</f>
        <v>-11.894015221162451</v>
      </c>
      <c r="C42" s="204">
        <f>+(C30/3.414)/($B$8*IF($B$6="A",5.3,IF($B$6="B",4.1,IF($B$6="C",3.4)))*1.2)*1.8</f>
        <v>2.5403558302037683</v>
      </c>
      <c r="D42" s="204">
        <f>+(D30/3.414)/($B$8*IF($B$6="A",5.3,IF($B$6="B",4.1,IF($B$6="C",3.4)))*1.2)*1.8</f>
        <v>-10.789278956229836</v>
      </c>
      <c r="E42" s="220">
        <f>+(E30/3.414)/($B$8*IF($B$6="A",5.3,IF($B$6="B",4.1,IF($B$6="C",3.4)))*1.2)*1.8</f>
        <v>7.086988800718086</v>
      </c>
      <c r="F42" s="148" t="s">
        <v>19</v>
      </c>
      <c r="G42" s="224">
        <f>+G13+(G11-5.58)</f>
        <v>13.92</v>
      </c>
      <c r="H42" s="162"/>
      <c r="I42" s="76"/>
      <c r="J42" s="77"/>
      <c r="R42" s="139">
        <v>-3.87517E-13</v>
      </c>
      <c r="S42" s="187">
        <v>-1.37174E-14</v>
      </c>
    </row>
    <row r="43" spans="1:18" ht="14.25" customHeight="1" thickBot="1">
      <c r="A43" s="173" t="s">
        <v>447</v>
      </c>
      <c r="B43" s="299">
        <f>(+IF(B5&gt;=7,123,98))/25.4</f>
        <v>4.84251968503937</v>
      </c>
      <c r="C43" s="300"/>
      <c r="D43" s="300"/>
      <c r="E43" s="301"/>
      <c r="F43" s="149" t="s">
        <v>444</v>
      </c>
      <c r="G43" s="221">
        <f>+B48*9/5+32</f>
        <v>54.19854089617729</v>
      </c>
      <c r="H43" s="164"/>
      <c r="I43" s="76"/>
      <c r="J43" s="77"/>
      <c r="R43" s="190">
        <v>3.42936E-17</v>
      </c>
    </row>
    <row r="44" spans="1:10" ht="14.25" customHeight="1" hidden="1" thickBot="1">
      <c r="A44" s="88" t="s">
        <v>49</v>
      </c>
      <c r="B44" s="89">
        <f>ReW(B4*227.04,DP_Wasser_GEA!B13,(($B$13-32)*5/9+($B$21-32)*5/9)/2,0)</f>
        <v>3543.194478615234</v>
      </c>
      <c r="C44" s="89">
        <f>ReW(C4*227.04,DP_Wasser_GEA!B13,(($D$13-32)*5/9+($C$21-32)*5/9)/2,0)</f>
        <v>2363.024290890477</v>
      </c>
      <c r="D44" s="89">
        <f>ReW(D4*227.04,DP_Wasser_GEA!B13,(($B$13-32)*5/9+($B$21-32)*5/9)/2,0)</f>
        <v>3121.232227071056</v>
      </c>
      <c r="E44" s="89">
        <f>ReW(E4*227.04,DP_Wasser_GEA!B13,(($D$13-32)*5/9+($C$21-32)*5/9)/2,0)</f>
        <v>4579.541075745745</v>
      </c>
      <c r="F44" s="76" t="s">
        <v>465</v>
      </c>
      <c r="G44" s="191">
        <f>+IF(B5&gt;=2100,IF(B6="C",90,123),100)</f>
        <v>100</v>
      </c>
      <c r="H44" s="167"/>
      <c r="I44" s="76"/>
      <c r="J44" s="77"/>
    </row>
    <row r="45" spans="1:8" ht="13.5" hidden="1" thickBot="1">
      <c r="A45" s="90" t="s">
        <v>48</v>
      </c>
      <c r="B45" s="91">
        <f>+('Rechnung_mittel-Bezug_0100_GEA'!$L$79+'Rechnung_mittel-Bezug_0100_GEA'!$L$80*(1-EXP(-B4*227.04/'Rechnung_mittel-Bezug_0100_GEA'!$L$81)))+'Rechnung_mittel-Bezug_0100_GEA'!$L$82*(1-EXP(-B4*227.04/'Rechnung_mittel-Bezug_0100_GEA'!$L$83))</f>
        <v>1.0201440267031912</v>
      </c>
      <c r="C45" s="91">
        <f>+('Rechnung_mittel-Bezug_0100_GEA'!$L$79+'Rechnung_mittel-Bezug_0100_GEA'!$L$80*(1-EXP(-C4*227.04/'Rechnung_mittel-Bezug_0100_GEA'!$L$81)))+'Rechnung_mittel-Bezug_0100_GEA'!$L$82*(1-EXP(-C4*227.04/'Rechnung_mittel-Bezug_0100_GEA'!$L$83))</f>
        <v>0.8614574095466833</v>
      </c>
      <c r="D45" s="91">
        <f>+('Rechnung_mittel-Bezug_0100_GEA'!$L$79+'Rechnung_mittel-Bezug_0100_GEA'!$L$80*(1-EXP(-D4*227.04/'Rechnung_mittel-Bezug_0100_GEA'!$L$81)))+'Rechnung_mittel-Bezug_0100_GEA'!$L$82*(1-EXP(-D4*227.04/'Rechnung_mittel-Bezug_0100_GEA'!$L$83))</f>
        <v>0.9992536218979932</v>
      </c>
      <c r="E45" s="91">
        <f>+('Rechnung_mittel-Bezug_0100_GEA'!$L$79+'Rechnung_mittel-Bezug_0100_GEA'!$L$80*(1-EXP(-E4*227.04/'Rechnung_mittel-Bezug_0100_GEA'!$L$81)))+'Rechnung_mittel-Bezug_0100_GEA'!$L$82*(1-EXP(-E4*227.04/'Rechnung_mittel-Bezug_0100_GEA'!$L$83))</f>
        <v>0.9992536218979932</v>
      </c>
      <c r="F45" s="175" t="s">
        <v>466</v>
      </c>
      <c r="G45" s="191">
        <f>++IF(B5&gt;=2100,123,100)</f>
        <v>100</v>
      </c>
      <c r="H45" s="166"/>
    </row>
    <row r="46" spans="1:17" ht="15" hidden="1">
      <c r="A46" s="71"/>
      <c r="B46" s="111">
        <f>+B28/3.414/($B$5*304.8/1000)/(B23/1.8)</f>
        <v>42.85763913859996</v>
      </c>
      <c r="C46" s="111">
        <f>+C28/3.414/($B$5*304.8/1000)/(C23/1.8)</f>
        <v>21.30012546184425</v>
      </c>
      <c r="D46" s="111">
        <f>+D28/3.414/($B$5*304.8/1000)/(D23/1.8)</f>
        <v>36.06346928917954</v>
      </c>
      <c r="E46" s="111">
        <f>+E28/3.414/($B$5*304.8/1000)/(E23/1.8)</f>
        <v>36.06346928917954</v>
      </c>
      <c r="H46" s="141"/>
      <c r="I46" s="86"/>
      <c r="K46" s="80"/>
      <c r="L46" s="80"/>
      <c r="M46" s="80"/>
      <c r="N46" s="80"/>
      <c r="O46" s="80"/>
      <c r="P46" s="80"/>
      <c r="Q46" s="80"/>
    </row>
    <row r="47" spans="1:17" ht="15.75" customHeight="1" hidden="1">
      <c r="A47" s="71"/>
      <c r="B47" s="279">
        <f>+$B$7*1.7/(B5*304.8/1000)</f>
        <v>55.77427821522309</v>
      </c>
      <c r="C47" s="279"/>
      <c r="D47" s="279"/>
      <c r="E47" s="279"/>
      <c r="G47" s="80"/>
      <c r="H47" s="58" t="s">
        <v>45</v>
      </c>
      <c r="I47" s="86"/>
      <c r="K47" s="80"/>
      <c r="L47" s="80"/>
      <c r="M47" s="80"/>
      <c r="N47" s="80"/>
      <c r="O47" s="80"/>
      <c r="P47" s="80"/>
      <c r="Q47" s="80"/>
    </row>
    <row r="48" spans="1:6" ht="15" hidden="1">
      <c r="A48" s="157" t="s">
        <v>434</v>
      </c>
      <c r="B48" s="158">
        <f>+Tauppunkttemp((B12-32)*5/9,C12,1000)</f>
        <v>12.332522720098495</v>
      </c>
      <c r="C48" s="158">
        <f>+Tauppunkttemp((D12-32)*5/9,E12,1000)</f>
        <v>10.288073635763592</v>
      </c>
      <c r="E48" s="79"/>
      <c r="F48" s="79"/>
    </row>
    <row r="49" spans="1:6" ht="15" hidden="1">
      <c r="A49" s="157" t="s">
        <v>433</v>
      </c>
      <c r="B49" s="158">
        <f>Wassergehalt_X(((B12-32)*5/9),C12,1000)*1000</f>
        <v>9.050704685882424</v>
      </c>
      <c r="C49" s="158">
        <f>Wassergehalt_X((D12-32)*5/9,E12,1000)*1000</f>
        <v>7.890904900079562</v>
      </c>
      <c r="E49" s="82"/>
      <c r="F49" s="78"/>
    </row>
    <row r="50" spans="1:17" ht="15">
      <c r="A50" s="71"/>
      <c r="B50" s="70"/>
      <c r="C50" s="70"/>
      <c r="D50" s="78"/>
      <c r="E50" s="82"/>
      <c r="G50" s="80"/>
      <c r="I50" s="86"/>
      <c r="K50" s="80"/>
      <c r="L50" s="80"/>
      <c r="M50" s="80"/>
      <c r="N50" s="80"/>
      <c r="O50" s="80"/>
      <c r="P50" s="80"/>
      <c r="Q50" s="80"/>
    </row>
    <row r="51" spans="2:17" s="71" customFormat="1" ht="15">
      <c r="B51" s="70"/>
      <c r="C51" s="70"/>
      <c r="D51" s="78" t="s">
        <v>45</v>
      </c>
      <c r="E51" s="82"/>
      <c r="F51" s="58"/>
      <c r="G51" s="80"/>
      <c r="H51" s="58"/>
      <c r="I51" s="86"/>
      <c r="K51" s="80"/>
      <c r="L51" s="80"/>
      <c r="M51" s="80"/>
      <c r="N51" s="80"/>
      <c r="O51" s="80"/>
      <c r="P51" s="80"/>
      <c r="Q51" s="80"/>
    </row>
    <row r="52" spans="2:6" s="71" customFormat="1" ht="15">
      <c r="B52" s="83"/>
      <c r="C52" s="123"/>
      <c r="D52" s="78"/>
      <c r="E52" s="82"/>
      <c r="F52" s="78"/>
    </row>
    <row r="53" s="71" customFormat="1" ht="15">
      <c r="F53" s="78"/>
    </row>
    <row r="54" spans="6:9" s="71" customFormat="1" ht="15">
      <c r="F54" s="58"/>
      <c r="G54" s="80"/>
      <c r="H54" s="58"/>
      <c r="I54" s="86"/>
    </row>
    <row r="55" spans="6:9" s="71" customFormat="1" ht="15">
      <c r="F55" s="58"/>
      <c r="G55" s="80"/>
      <c r="H55" s="58"/>
      <c r="I55" s="86"/>
    </row>
    <row r="56" s="71" customFormat="1" ht="15">
      <c r="F56" s="78"/>
    </row>
    <row r="57" s="71" customFormat="1" ht="15">
      <c r="F57" s="78"/>
    </row>
    <row r="58" s="71" customFormat="1" ht="15">
      <c r="F58" s="78"/>
    </row>
    <row r="59" spans="4:6" s="71" customFormat="1" ht="15">
      <c r="D59" s="72"/>
      <c r="E59" s="81"/>
      <c r="F59" s="78"/>
    </row>
    <row r="60" spans="4:6" s="71" customFormat="1" ht="15">
      <c r="D60" s="72"/>
      <c r="E60" s="81"/>
      <c r="F60" s="78"/>
    </row>
    <row r="61" spans="4:6" s="71" customFormat="1" ht="15">
      <c r="D61" s="72"/>
      <c r="E61" s="81"/>
      <c r="F61" s="78"/>
    </row>
    <row r="62" ht="12.75">
      <c r="F62" s="81"/>
    </row>
    <row r="63" ht="12.75">
      <c r="F63" s="81"/>
    </row>
    <row r="64" ht="12.75">
      <c r="F64" s="81"/>
    </row>
    <row r="65" ht="12.75">
      <c r="F65" s="81"/>
    </row>
    <row r="66" ht="12.75">
      <c r="F66" s="81"/>
    </row>
    <row r="67" ht="12.75">
      <c r="F67" s="81"/>
    </row>
    <row r="68" spans="1:6" ht="12.75">
      <c r="A68" s="71"/>
      <c r="B68" s="71"/>
      <c r="C68" s="71"/>
      <c r="D68" s="72"/>
      <c r="E68" s="81"/>
      <c r="F68" s="81"/>
    </row>
    <row r="69" spans="1:6" ht="12.75">
      <c r="A69" s="71"/>
      <c r="B69" s="71"/>
      <c r="C69" s="71"/>
      <c r="D69" s="72"/>
      <c r="E69" s="81"/>
      <c r="F69" s="81"/>
    </row>
    <row r="70" spans="1:6" ht="12.75">
      <c r="A70" s="71"/>
      <c r="B70" s="71"/>
      <c r="C70" s="71"/>
      <c r="D70" s="72"/>
      <c r="E70" s="81"/>
      <c r="F70" s="81"/>
    </row>
    <row r="71" spans="1:6" ht="12.75">
      <c r="A71" s="71"/>
      <c r="B71" s="71"/>
      <c r="C71" s="71"/>
      <c r="D71" s="72"/>
      <c r="E71" s="81"/>
      <c r="F71" s="81"/>
    </row>
    <row r="72" spans="1:6" ht="12.75">
      <c r="A72" s="71"/>
      <c r="B72" s="71"/>
      <c r="C72" s="71"/>
      <c r="D72" s="71"/>
      <c r="F72" s="81"/>
    </row>
    <row r="73" spans="1:6" ht="12.75">
      <c r="A73" s="71"/>
      <c r="B73" s="71"/>
      <c r="C73" s="71"/>
      <c r="D73" s="71"/>
      <c r="F73" s="81"/>
    </row>
    <row r="74" spans="1:6" ht="12.75">
      <c r="A74" s="71"/>
      <c r="B74" s="71"/>
      <c r="C74" s="71"/>
      <c r="D74" s="71"/>
      <c r="F74" s="81"/>
    </row>
    <row r="75" spans="1:6" ht="12.75">
      <c r="A75" s="71"/>
      <c r="B75" s="71"/>
      <c r="C75" s="71"/>
      <c r="D75" s="71"/>
      <c r="F75" s="81"/>
    </row>
    <row r="76" spans="1:6" ht="12.75">
      <c r="A76" s="71"/>
      <c r="B76" s="71"/>
      <c r="C76" s="71"/>
      <c r="D76" s="71"/>
      <c r="F76" s="81"/>
    </row>
    <row r="79" ht="12.75">
      <c r="AE79" s="84"/>
    </row>
  </sheetData>
  <sheetProtection password="C766" sheet="1" objects="1" scenarios="1"/>
  <mergeCells count="32">
    <mergeCell ref="B43:E43"/>
    <mergeCell ref="D11:E11"/>
    <mergeCell ref="B13:C13"/>
    <mergeCell ref="D13:E13"/>
    <mergeCell ref="B14:C14"/>
    <mergeCell ref="D14:E14"/>
    <mergeCell ref="B47:E47"/>
    <mergeCell ref="B9:E9"/>
    <mergeCell ref="G3:G9"/>
    <mergeCell ref="F10:G10"/>
    <mergeCell ref="F3:F9"/>
    <mergeCell ref="B6:E6"/>
    <mergeCell ref="B7:E7"/>
    <mergeCell ref="B10:C10"/>
    <mergeCell ref="D10:E10"/>
    <mergeCell ref="B11:C11"/>
    <mergeCell ref="I36:J36"/>
    <mergeCell ref="B32:E32"/>
    <mergeCell ref="B33:E33"/>
    <mergeCell ref="B18:C18"/>
    <mergeCell ref="D18:E18"/>
    <mergeCell ref="F28:G29"/>
    <mergeCell ref="H3:H9"/>
    <mergeCell ref="A1:H1"/>
    <mergeCell ref="F36:G36"/>
    <mergeCell ref="A2:A3"/>
    <mergeCell ref="A18:A19"/>
    <mergeCell ref="B2:C2"/>
    <mergeCell ref="D2:E2"/>
    <mergeCell ref="A7:A8"/>
    <mergeCell ref="B8:E8"/>
    <mergeCell ref="B5:E5"/>
  </mergeCells>
  <conditionalFormatting sqref="B25:E25 B27:E27">
    <cfRule type="cellIs" priority="1" dxfId="0" operator="notEqual" stopIfTrue="1">
      <formula>0</formula>
    </cfRule>
  </conditionalFormatting>
  <conditionalFormatting sqref="J40">
    <cfRule type="cellIs" priority="2" dxfId="1" operator="between" stopIfTrue="1">
      <formula>7</formula>
      <formula>25</formula>
    </cfRule>
  </conditionalFormatting>
  <conditionalFormatting sqref="G12">
    <cfRule type="cellIs" priority="3" dxfId="0" operator="greaterThan" stopIfTrue="1">
      <formula>$B$40*2</formula>
    </cfRule>
  </conditionalFormatting>
  <conditionalFormatting sqref="B4:E4">
    <cfRule type="cellIs" priority="4" dxfId="0" operator="greaterThan" stopIfTrue="1">
      <formula>1.5</formula>
    </cfRule>
    <cfRule type="cellIs" priority="5" dxfId="0" operator="lessThan" stopIfTrue="1">
      <formula>0.132</formula>
    </cfRule>
  </conditionalFormatting>
  <conditionalFormatting sqref="G40">
    <cfRule type="cellIs" priority="6" dxfId="2" operator="between" stopIfTrue="1">
      <formula>1800</formula>
      <formula>4000</formula>
    </cfRule>
  </conditionalFormatting>
  <conditionalFormatting sqref="B5:E5">
    <cfRule type="cellIs" priority="7" dxfId="0" operator="lessThan" stopIfTrue="1">
      <formula>3</formula>
    </cfRule>
    <cfRule type="cellIs" priority="8" dxfId="0" operator="greaterThan" stopIfTrue="1">
      <formula>10</formula>
    </cfRule>
  </conditionalFormatting>
  <printOptions/>
  <pageMargins left="0.37" right="0.22" top="0.83" bottom="1" header="0.4921259845" footer="0.4921259845"/>
  <pageSetup fitToHeight="1" fitToWidth="1" horizontalDpi="300" verticalDpi="300" orientation="landscape" paperSize="9" scale="80" r:id="rId4"/>
  <headerFooter alignWithMargins="0">
    <oddFooter>&amp;L&amp;6&amp;F &amp;D FE/WO</oddFooter>
  </headerFooter>
  <ignoredErrors>
    <ignoredError sqref="B49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Wolters</dc:creator>
  <cp:keywords/>
  <dc:description/>
  <cp:lastModifiedBy>Chris</cp:lastModifiedBy>
  <cp:lastPrinted>2005-06-03T17:10:33Z</cp:lastPrinted>
  <dcterms:created xsi:type="dcterms:W3CDTF">1999-07-28T11:08:26Z</dcterms:created>
  <dcterms:modified xsi:type="dcterms:W3CDTF">2005-06-17T14:31:14Z</dcterms:modified>
  <cp:category/>
  <cp:version/>
  <cp:contentType/>
  <cp:contentStatus/>
</cp:coreProperties>
</file>